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8" windowWidth="11352" windowHeight="8952" tabRatio="941" activeTab="1"/>
  </bookViews>
  <sheets>
    <sheet name="BS" sheetId="1" r:id="rId1"/>
    <sheet name="IE" sheetId="2" r:id="rId2"/>
    <sheet name="Capi" sheetId="4" r:id="rId3"/>
    <sheet name="S 3" sheetId="3" r:id="rId4"/>
    <sheet name="R P" sheetId="21" r:id="rId5"/>
    <sheet name="S 4" sheetId="5" r:id="rId6"/>
    <sheet name="S 5 6" sheetId="6" r:id="rId7"/>
    <sheet name="S 7" sheetId="7" r:id="rId8"/>
    <sheet name="S 8" sheetId="8" r:id="rId9"/>
    <sheet name="S 9 10" sheetId="9" r:id="rId10"/>
    <sheet name="S 11 " sheetId="10" r:id="rId11"/>
    <sheet name="S 11 c" sheetId="11" r:id="rId12"/>
    <sheet name="S 12 13" sheetId="12" r:id="rId13"/>
    <sheet name="S 14 15" sheetId="13" r:id="rId14"/>
    <sheet name="S 16 17" sheetId="14" r:id="rId15"/>
    <sheet name="S 18  20" sheetId="15" r:id="rId16"/>
    <sheet name="S 21" sheetId="16" r:id="rId17"/>
    <sheet name="S 22 23" sheetId="17" r:id="rId18"/>
    <sheet name="Dep {Minor Civil Works}" sheetId="23" r:id="rId19"/>
    <sheet name="Dep" sheetId="19" r:id="rId20"/>
    <sheet name="Cal FA" sheetId="22" r:id="rId21"/>
    <sheet name="Amortization" sheetId="24" r:id="rId22"/>
    <sheet name="Closing Stock" sheetId="25" r:id="rId23"/>
    <sheet name="Medical Equipment- Projects" sheetId="26" r:id="rId24"/>
    <sheet name="Sales of Assets" sheetId="27" r:id="rId25"/>
    <sheet name="Detailed of Sales of Assets" sheetId="28" r:id="rId26"/>
    <sheet name="Sheet2" sheetId="29" r:id="rId27"/>
  </sheets>
  <definedNames>
    <definedName name="_xlnm._FilterDatabase" localSheetId="7" hidden="1">'S 7'!$B$1:$B$135</definedName>
    <definedName name="_xlnm.Print_Area" localSheetId="0">BS!$A$1:$D$38</definedName>
    <definedName name="_xlnm.Print_Area" localSheetId="2">Capi!$A$1:$E$39</definedName>
    <definedName name="_xlnm.Print_Area" localSheetId="19">Dep!$A$3:$M$45</definedName>
    <definedName name="_xlnm.Print_Area" localSheetId="1">IE!$A$1:$D$40</definedName>
    <definedName name="_xlnm.Print_Area" localSheetId="4">'R P'!$A$1:$I$350</definedName>
    <definedName name="_xlnm.Print_Area" localSheetId="10">'S 11 '!$A$1:$E$119</definedName>
    <definedName name="_xlnm.Print_Area" localSheetId="11">'S 11 c'!$A$1:$E$110</definedName>
    <definedName name="_xlnm.Print_Area" localSheetId="12">'S 12 13'!$A$1:$C$62</definedName>
    <definedName name="_xlnm.Print_Area" localSheetId="13">'S 14 15'!$A$1:$E$33</definedName>
    <definedName name="_xlnm.Print_Area" localSheetId="14">'S 16 17'!$A$1:$C$62</definedName>
    <definedName name="_xlnm.Print_Area" localSheetId="15">'S 18  20'!$A$1:$C$66</definedName>
    <definedName name="_xlnm.Print_Area" localSheetId="16">'S 21'!$A$1:$D$116</definedName>
    <definedName name="_xlnm.Print_Area" localSheetId="17">'S 22 23'!$A$1:$C$29</definedName>
    <definedName name="_xlnm.Print_Area" localSheetId="3">'S 3'!$A$1:$G$36</definedName>
    <definedName name="_xlnm.Print_Area" localSheetId="5">'S 4'!$A$1:$E$29</definedName>
    <definedName name="_xlnm.Print_Area" localSheetId="6">'S 5 6'!$A$1:$C$38</definedName>
    <definedName name="_xlnm.Print_Area" localSheetId="7">'S 7'!$A$1:$E$135</definedName>
    <definedName name="_xlnm.Print_Area" localSheetId="8">'S 8'!$A$1:$K$54</definedName>
    <definedName name="_xlnm.Print_Area" localSheetId="9">'S 9 10'!$A$1:$C$39</definedName>
  </definedNames>
  <calcPr calcId="125725"/>
</workbook>
</file>

<file path=xl/calcChain.xml><?xml version="1.0" encoding="utf-8"?>
<calcChain xmlns="http://schemas.openxmlformats.org/spreadsheetml/2006/main">
  <c r="C102" i="11"/>
  <c r="G38" i="8"/>
  <c r="G28"/>
  <c r="C92" i="21"/>
  <c r="G47" i="19"/>
  <c r="G26" i="8"/>
  <c r="G40" s="1"/>
  <c r="J32" i="19"/>
  <c r="K21"/>
  <c r="J21"/>
  <c r="F21"/>
  <c r="C16" i="16"/>
  <c r="E17" s="1"/>
  <c r="C61"/>
  <c r="B45" i="7"/>
  <c r="C91" i="16"/>
  <c r="F91" s="1"/>
  <c r="E91"/>
  <c r="H131" i="21"/>
  <c r="C175"/>
  <c r="B24" i="15"/>
  <c r="C13" i="2" s="1"/>
  <c r="B46" i="14"/>
  <c r="C12" i="2" s="1"/>
  <c r="C103" i="10"/>
  <c r="C70"/>
  <c r="C94" i="11"/>
  <c r="C89"/>
  <c r="C28"/>
  <c r="C21" i="2"/>
  <c r="H67" i="21"/>
  <c r="C22"/>
  <c r="B89" i="10"/>
  <c r="B78"/>
  <c r="C19" i="21"/>
  <c r="C185"/>
  <c r="B50" i="12"/>
  <c r="C73" i="21"/>
  <c r="H324"/>
  <c r="H312"/>
  <c r="C232"/>
  <c r="D7" i="13"/>
  <c r="D6"/>
  <c r="D11" s="1"/>
  <c r="C9" i="2" s="1"/>
  <c r="B37" i="9"/>
  <c r="J24" i="8"/>
  <c r="J23"/>
  <c r="J15"/>
  <c r="J13"/>
  <c r="J12"/>
  <c r="J11"/>
  <c r="B56" i="7"/>
  <c r="C65" i="16"/>
  <c r="B54" i="15"/>
  <c r="B58"/>
  <c r="B53"/>
  <c r="C18" i="8"/>
  <c r="C36"/>
  <c r="C85" i="16"/>
  <c r="B51" i="7"/>
  <c r="C90" i="16"/>
  <c r="C106" i="11" l="1"/>
  <c r="L21" i="19"/>
  <c r="M21"/>
  <c r="C112" i="10"/>
  <c r="C13" i="16"/>
  <c r="C38"/>
  <c r="B56" i="15"/>
  <c r="B48"/>
  <c r="B60" s="1"/>
  <c r="C19" i="2" s="1"/>
  <c r="C86" i="16"/>
  <c r="C66"/>
  <c r="C79"/>
  <c r="C62"/>
  <c r="C58"/>
  <c r="C93"/>
  <c r="B57" i="15"/>
  <c r="C64" i="16"/>
  <c r="C10"/>
  <c r="C96" l="1"/>
  <c r="C57"/>
  <c r="B74" i="7"/>
  <c r="H24" i="19"/>
  <c r="C40" i="8"/>
  <c r="B50" i="7"/>
  <c r="B104" l="1"/>
  <c r="B117" s="1"/>
  <c r="C108" i="11"/>
  <c r="C15" i="16"/>
  <c r="B60" i="12" l="1"/>
  <c r="B38" i="15"/>
  <c r="C14" i="2" s="1"/>
  <c r="C160" i="21"/>
  <c r="H115"/>
  <c r="C8" i="2" l="1"/>
  <c r="C16" s="1"/>
  <c r="C113" i="21"/>
  <c r="C74" i="16"/>
  <c r="C104" s="1"/>
  <c r="C20" i="2" l="1"/>
  <c r="C173" i="21"/>
  <c r="H31"/>
  <c r="H21"/>
  <c r="H22"/>
  <c r="H13"/>
  <c r="H139"/>
  <c r="H10"/>
  <c r="H16"/>
  <c r="H62"/>
  <c r="H29"/>
  <c r="H15"/>
  <c r="H23"/>
  <c r="H52"/>
  <c r="H14"/>
  <c r="H20"/>
  <c r="H27"/>
  <c r="H48"/>
  <c r="H37"/>
  <c r="H56"/>
  <c r="C56"/>
  <c r="C337" s="1"/>
  <c r="C189"/>
  <c r="H186"/>
  <c r="H38"/>
  <c r="H68"/>
  <c r="H41"/>
  <c r="H12"/>
  <c r="C6" i="23"/>
  <c r="C50" i="8"/>
  <c r="D50"/>
  <c r="E50"/>
  <c r="F50"/>
  <c r="G50"/>
  <c r="G52" s="1"/>
  <c r="H50"/>
  <c r="B50"/>
  <c r="B40"/>
  <c r="B57" s="1"/>
  <c r="D40"/>
  <c r="F40"/>
  <c r="C23" i="2"/>
  <c r="H40" i="8"/>
  <c r="K40"/>
  <c r="E10"/>
  <c r="J10" s="1"/>
  <c r="E14"/>
  <c r="E16"/>
  <c r="E18"/>
  <c r="E19"/>
  <c r="E20"/>
  <c r="E21"/>
  <c r="E22"/>
  <c r="E25"/>
  <c r="E26"/>
  <c r="E27"/>
  <c r="E28"/>
  <c r="E29"/>
  <c r="E30"/>
  <c r="E31"/>
  <c r="E32"/>
  <c r="E33"/>
  <c r="E34"/>
  <c r="E36"/>
  <c r="E37"/>
  <c r="E38"/>
  <c r="D99" i="11"/>
  <c r="E102" s="1"/>
  <c r="E94"/>
  <c r="E89"/>
  <c r="D23"/>
  <c r="D22"/>
  <c r="E28" s="1"/>
  <c r="H107"/>
  <c r="B52" i="8" l="1"/>
  <c r="C25" i="2"/>
  <c r="C27" s="1"/>
  <c r="C31" s="1"/>
  <c r="E106" i="11"/>
  <c r="H337" i="21"/>
  <c r="E40" i="8"/>
  <c r="I10" i="21"/>
  <c r="C60" i="12"/>
  <c r="C24" i="15"/>
  <c r="D7" i="2"/>
  <c r="D33"/>
  <c r="D32"/>
  <c r="C33"/>
  <c r="C32"/>
  <c r="D29"/>
  <c r="D28"/>
  <c r="C29"/>
  <c r="C28"/>
  <c r="D21"/>
  <c r="D23"/>
  <c r="C25" i="14"/>
  <c r="C26"/>
  <c r="C16"/>
  <c r="C46" s="1"/>
  <c r="D15" i="27"/>
  <c r="D16"/>
  <c r="I15"/>
  <c r="G13"/>
  <c r="G10"/>
  <c r="G6"/>
  <c r="G3"/>
  <c r="G2"/>
  <c r="B8" i="4" l="1"/>
  <c r="C13" s="1"/>
  <c r="G15" i="27"/>
  <c r="G16"/>
  <c r="J23" i="19"/>
  <c r="L23" s="1"/>
  <c r="J22"/>
  <c r="L22" s="1"/>
  <c r="F23"/>
  <c r="F22"/>
  <c r="M22" s="1"/>
  <c r="F10"/>
  <c r="J10"/>
  <c r="C57" i="15"/>
  <c r="C56"/>
  <c r="C54"/>
  <c r="C53"/>
  <c r="C48"/>
  <c r="C60" s="1"/>
  <c r="D96" i="16"/>
  <c r="D93"/>
  <c r="D91"/>
  <c r="D90"/>
  <c r="D85"/>
  <c r="D82"/>
  <c r="D74"/>
  <c r="D73"/>
  <c r="D67"/>
  <c r="D66"/>
  <c r="D65"/>
  <c r="D64"/>
  <c r="D62"/>
  <c r="D61"/>
  <c r="D58"/>
  <c r="D57"/>
  <c r="D35"/>
  <c r="D32"/>
  <c r="D17"/>
  <c r="D15"/>
  <c r="D13"/>
  <c r="D10"/>
  <c r="D104" s="1"/>
  <c r="D33" i="7"/>
  <c r="D46"/>
  <c r="D32"/>
  <c r="I50" i="19"/>
  <c r="D2" i="28"/>
  <c r="H13" i="27"/>
  <c r="J13" s="1"/>
  <c r="D17" i="28"/>
  <c r="H10" i="27"/>
  <c r="J10" s="1"/>
  <c r="H3"/>
  <c r="J3" s="1"/>
  <c r="H2"/>
  <c r="H6"/>
  <c r="J6" s="1"/>
  <c r="E17" i="28"/>
  <c r="F17" s="1"/>
  <c r="D14"/>
  <c r="E14" s="1"/>
  <c r="F14" s="1"/>
  <c r="D10"/>
  <c r="E10" s="1"/>
  <c r="D6"/>
  <c r="E6" s="1"/>
  <c r="E2"/>
  <c r="J24" i="19"/>
  <c r="D56" i="7"/>
  <c r="D74"/>
  <c r="G2" i="28" l="1"/>
  <c r="H2" s="1"/>
  <c r="F2"/>
  <c r="M23" i="19"/>
  <c r="H15" i="27"/>
  <c r="H16"/>
  <c r="G17" i="28"/>
  <c r="G14"/>
  <c r="F10"/>
  <c r="G10" s="1"/>
  <c r="F6"/>
  <c r="G6"/>
  <c r="J2" i="27"/>
  <c r="J15" s="1"/>
  <c r="I2" i="28" l="1"/>
  <c r="J2" s="1"/>
  <c r="H17"/>
  <c r="I17" s="1"/>
  <c r="H14"/>
  <c r="I14" s="1"/>
  <c r="H10"/>
  <c r="I10" s="1"/>
  <c r="H6"/>
  <c r="I6" s="1"/>
  <c r="J43" i="19"/>
  <c r="J19"/>
  <c r="J17"/>
  <c r="J12"/>
  <c r="J11"/>
  <c r="J9"/>
  <c r="F32"/>
  <c r="I44"/>
  <c r="I25"/>
  <c r="I29" s="1"/>
  <c r="I36" s="1"/>
  <c r="I13"/>
  <c r="K2" i="28" l="1"/>
  <c r="L2" s="1"/>
  <c r="M2" s="1"/>
  <c r="I46" i="19"/>
  <c r="J17" i="28"/>
  <c r="K17" s="1"/>
  <c r="J14"/>
  <c r="K14" s="1"/>
  <c r="J10"/>
  <c r="K10" s="1"/>
  <c r="J6"/>
  <c r="K6" s="1"/>
  <c r="D74" i="10"/>
  <c r="E103" s="1"/>
  <c r="I252" i="21"/>
  <c r="I308"/>
  <c r="G13" i="19"/>
  <c r="N2" i="28" l="1"/>
  <c r="O2" s="1"/>
  <c r="K32" i="19"/>
  <c r="L32" s="1"/>
  <c r="L17" i="28"/>
  <c r="M17" s="1"/>
  <c r="L14"/>
  <c r="M14" s="1"/>
  <c r="L10"/>
  <c r="M10" s="1"/>
  <c r="L6"/>
  <c r="M6" s="1"/>
  <c r="E44" i="19"/>
  <c r="C13"/>
  <c r="C30" i="15"/>
  <c r="C38" s="1"/>
  <c r="I34" i="8" l="1"/>
  <c r="J34" s="1"/>
  <c r="M32" i="19"/>
  <c r="P2" i="28"/>
  <c r="Q2" s="1"/>
  <c r="N17"/>
  <c r="O17" s="1"/>
  <c r="N14"/>
  <c r="O14" s="1"/>
  <c r="N10"/>
  <c r="O10" s="1"/>
  <c r="N6"/>
  <c r="O6" s="1"/>
  <c r="F52" i="8"/>
  <c r="P17" i="28" l="1"/>
  <c r="Q17" s="1"/>
  <c r="P14"/>
  <c r="Q14" s="1"/>
  <c r="P10"/>
  <c r="Q10" s="1"/>
  <c r="P6"/>
  <c r="Q6" s="1"/>
  <c r="S17" l="1"/>
  <c r="R17"/>
  <c r="U17" l="1"/>
  <c r="T17"/>
  <c r="D19" i="21"/>
  <c r="I305"/>
  <c r="W17" i="28" l="1"/>
  <c r="V17"/>
  <c r="D43" i="10"/>
  <c r="D40"/>
  <c r="C34" i="9"/>
  <c r="I235" i="21"/>
  <c r="D120"/>
  <c r="E6" i="13"/>
  <c r="E11" s="1"/>
  <c r="D98" i="7"/>
  <c r="D50"/>
  <c r="E104" s="1"/>
  <c r="E70" i="10" l="1"/>
  <c r="E112" s="1"/>
  <c r="E108" i="11" s="1"/>
  <c r="C22" i="1"/>
  <c r="C37" i="9"/>
  <c r="C14" i="1"/>
  <c r="X17" i="28"/>
  <c r="Y17" s="1"/>
  <c r="Z17" s="1"/>
  <c r="D13" i="2"/>
  <c r="C23" i="1" l="1"/>
  <c r="AA17" i="28"/>
  <c r="D14" i="2" l="1"/>
  <c r="D119" i="21" l="1"/>
  <c r="D190"/>
  <c r="I187"/>
  <c r="I189"/>
  <c r="D192"/>
  <c r="I264"/>
  <c r="I266"/>
  <c r="D56"/>
  <c r="D91"/>
  <c r="I74"/>
  <c r="I71"/>
  <c r="I167"/>
  <c r="I160"/>
  <c r="I38"/>
  <c r="I55"/>
  <c r="I68"/>
  <c r="I31"/>
  <c r="I23"/>
  <c r="I13"/>
  <c r="I12"/>
  <c r="I37"/>
  <c r="I337" l="1"/>
  <c r="D113"/>
  <c r="D337" s="1"/>
  <c r="B133" i="23"/>
  <c r="B129"/>
  <c r="F130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B103"/>
  <c r="B139" s="1"/>
  <c r="B95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E129" l="1"/>
  <c r="C95"/>
  <c r="C133"/>
  <c r="D129"/>
  <c r="B141"/>
  <c r="C136"/>
  <c r="C137" s="1"/>
  <c r="C103"/>
  <c r="C129"/>
  <c r="D6"/>
  <c r="D74"/>
  <c r="D133" s="1"/>
  <c r="F134" l="1"/>
  <c r="C139"/>
  <c r="C106"/>
  <c r="C107" s="1"/>
  <c r="F116"/>
  <c r="E131"/>
  <c r="F124"/>
  <c r="E142"/>
  <c r="D103"/>
  <c r="D139" s="1"/>
  <c r="D95"/>
  <c r="E127"/>
  <c r="F137"/>
  <c r="G132"/>
  <c r="B142" l="1"/>
  <c r="B143" s="1"/>
  <c r="C142"/>
  <c r="E143"/>
  <c r="C151"/>
  <c r="C153" s="1"/>
  <c r="J18" i="19" l="1"/>
  <c r="F18" l="1"/>
  <c r="F40"/>
  <c r="D52" i="8" l="1"/>
  <c r="J42" i="19" l="1"/>
  <c r="L42" s="1"/>
  <c r="J41"/>
  <c r="G44"/>
  <c r="D44"/>
  <c r="E36"/>
  <c r="D36"/>
  <c r="C36"/>
  <c r="G29"/>
  <c r="E29"/>
  <c r="D29"/>
  <c r="C29"/>
  <c r="E25"/>
  <c r="D25"/>
  <c r="E13"/>
  <c r="D13"/>
  <c r="J40"/>
  <c r="J39"/>
  <c r="F39"/>
  <c r="J38"/>
  <c r="J34"/>
  <c r="J31"/>
  <c r="J28"/>
  <c r="J27"/>
  <c r="F27"/>
  <c r="F24"/>
  <c r="J8"/>
  <c r="K24" l="1"/>
  <c r="L24" s="1"/>
  <c r="I30" i="8" s="1"/>
  <c r="J30" s="1"/>
  <c r="K39" i="19"/>
  <c r="L39" s="1"/>
  <c r="I32" i="8" s="1"/>
  <c r="J32" s="1"/>
  <c r="E46" i="19"/>
  <c r="J29"/>
  <c r="D46"/>
  <c r="F19"/>
  <c r="C25"/>
  <c r="M24" l="1"/>
  <c r="K27"/>
  <c r="L27" s="1"/>
  <c r="C44"/>
  <c r="C46" s="1"/>
  <c r="C48" s="1"/>
  <c r="C50" s="1"/>
  <c r="F38"/>
  <c r="K18"/>
  <c r="L18" s="1"/>
  <c r="I36" i="8" s="1"/>
  <c r="J36" s="1"/>
  <c r="K38" i="19" l="1"/>
  <c r="L38" s="1"/>
  <c r="I27" i="8" s="1"/>
  <c r="J27" s="1"/>
  <c r="M18" i="19" l="1"/>
  <c r="H52" i="8" l="1"/>
  <c r="E52" l="1"/>
  <c r="C52"/>
  <c r="B33" i="25"/>
  <c r="B14"/>
  <c r="B36" l="1"/>
  <c r="G15" i="24"/>
  <c r="F15"/>
  <c r="J25" i="19" l="1"/>
  <c r="K19" l="1"/>
  <c r="L19" s="1"/>
  <c r="I37" i="8" s="1"/>
  <c r="J37" s="1"/>
  <c r="F28" i="19"/>
  <c r="F17"/>
  <c r="F16"/>
  <c r="F15"/>
  <c r="F12"/>
  <c r="K12" s="1"/>
  <c r="L12" s="1"/>
  <c r="I21" i="8" s="1"/>
  <c r="J21" s="1"/>
  <c r="F11" i="19"/>
  <c r="K11" s="1"/>
  <c r="L11" s="1"/>
  <c r="I20" i="8" s="1"/>
  <c r="J20" s="1"/>
  <c r="K10" i="19"/>
  <c r="L10" s="1"/>
  <c r="F9"/>
  <c r="K9" s="1"/>
  <c r="F8"/>
  <c r="F7"/>
  <c r="F6"/>
  <c r="K8" l="1"/>
  <c r="L8" s="1"/>
  <c r="I22" i="8"/>
  <c r="J22" s="1"/>
  <c r="M10" i="19"/>
  <c r="F29"/>
  <c r="F25"/>
  <c r="F13"/>
  <c r="D12" i="2"/>
  <c r="D20"/>
  <c r="D19"/>
  <c r="D8"/>
  <c r="I18" i="8" l="1"/>
  <c r="J18" s="1"/>
  <c r="M8" i="19"/>
  <c r="D25" i="2"/>
  <c r="H29" i="19"/>
  <c r="K28"/>
  <c r="K29" l="1"/>
  <c r="L28"/>
  <c r="D23" i="1"/>
  <c r="E117" i="7"/>
  <c r="I28" i="8" l="1"/>
  <c r="J28" s="1"/>
  <c r="L29" i="19"/>
  <c r="C10" i="24"/>
  <c r="H10" s="1"/>
  <c r="C11"/>
  <c r="G11" s="1"/>
  <c r="D10" l="1"/>
  <c r="G10"/>
  <c r="E10"/>
  <c r="J6" i="19" s="1"/>
  <c r="D11" i="24"/>
  <c r="F11"/>
  <c r="H11"/>
  <c r="F10"/>
  <c r="E11"/>
  <c r="K17" i="19"/>
  <c r="L17" s="1"/>
  <c r="I19" i="8" s="1"/>
  <c r="J19" s="1"/>
  <c r="K16" i="19"/>
  <c r="K7"/>
  <c r="J44"/>
  <c r="H25"/>
  <c r="F43"/>
  <c r="K43" s="1"/>
  <c r="L43" s="1"/>
  <c r="I38" i="8" s="1"/>
  <c r="J38" s="1"/>
  <c r="F42" i="19"/>
  <c r="F41"/>
  <c r="K40"/>
  <c r="L40" s="1"/>
  <c r="I25" i="8" s="1"/>
  <c r="J25" s="1"/>
  <c r="F35" i="19"/>
  <c r="F34"/>
  <c r="F31"/>
  <c r="F17" i="24" l="1"/>
  <c r="H44" i="19"/>
  <c r="K34"/>
  <c r="L34" s="1"/>
  <c r="I10" i="24"/>
  <c r="K10" s="1"/>
  <c r="K11" s="1"/>
  <c r="K12" s="1"/>
  <c r="F16"/>
  <c r="D15"/>
  <c r="J7" i="19"/>
  <c r="L7" s="1"/>
  <c r="G17" i="24"/>
  <c r="G16"/>
  <c r="D16"/>
  <c r="I11"/>
  <c r="L16" i="19"/>
  <c r="M16" s="1"/>
  <c r="G25"/>
  <c r="F36"/>
  <c r="K25"/>
  <c r="M27"/>
  <c r="M42"/>
  <c r="F44"/>
  <c r="M38"/>
  <c r="D14" i="1"/>
  <c r="M17" i="19"/>
  <c r="D22" i="1"/>
  <c r="F18" i="24" l="1"/>
  <c r="K41" i="19"/>
  <c r="L41" s="1"/>
  <c r="M7"/>
  <c r="I16" i="8"/>
  <c r="J16" s="1"/>
  <c r="M34" i="19"/>
  <c r="F46"/>
  <c r="F51" s="1"/>
  <c r="M11"/>
  <c r="G18" i="24"/>
  <c r="M12" i="19"/>
  <c r="J13"/>
  <c r="K31"/>
  <c r="L31" s="1"/>
  <c r="H13"/>
  <c r="L9"/>
  <c r="I29" i="8" l="1"/>
  <c r="J29" s="1"/>
  <c r="M41" i="19"/>
  <c r="I33" i="8"/>
  <c r="J33" s="1"/>
  <c r="M9" i="19"/>
  <c r="I31" i="8"/>
  <c r="J31" s="1"/>
  <c r="M43" i="19"/>
  <c r="K44"/>
  <c r="I45" i="8"/>
  <c r="I46"/>
  <c r="J46" s="1"/>
  <c r="I47"/>
  <c r="D9" i="2"/>
  <c r="Q10" i="22"/>
  <c r="G10" s="1"/>
  <c r="G33" s="1"/>
  <c r="E10"/>
  <c r="J10" s="1"/>
  <c r="E11"/>
  <c r="J11" s="1"/>
  <c r="E13"/>
  <c r="J13" s="1"/>
  <c r="E14"/>
  <c r="I14"/>
  <c r="I15"/>
  <c r="J15" s="1"/>
  <c r="E16"/>
  <c r="I16"/>
  <c r="E18"/>
  <c r="I18"/>
  <c r="E19"/>
  <c r="I19"/>
  <c r="E21"/>
  <c r="I21"/>
  <c r="E22"/>
  <c r="I22"/>
  <c r="E23"/>
  <c r="I23"/>
  <c r="E24"/>
  <c r="I24"/>
  <c r="E25"/>
  <c r="I25"/>
  <c r="E26"/>
  <c r="I26"/>
  <c r="E27"/>
  <c r="I27"/>
  <c r="E28"/>
  <c r="I28"/>
  <c r="E30"/>
  <c r="I30"/>
  <c r="E31"/>
  <c r="I31"/>
  <c r="E36"/>
  <c r="I36"/>
  <c r="E37"/>
  <c r="I37"/>
  <c r="E38"/>
  <c r="I38"/>
  <c r="E39"/>
  <c r="I39"/>
  <c r="F33"/>
  <c r="K33"/>
  <c r="H33"/>
  <c r="D33"/>
  <c r="C33"/>
  <c r="B33"/>
  <c r="M23"/>
  <c r="N23" s="1"/>
  <c r="O23"/>
  <c r="P23"/>
  <c r="M14"/>
  <c r="N14" s="1"/>
  <c r="Q14" s="1"/>
  <c r="R14" s="1"/>
  <c r="M16"/>
  <c r="N16" s="1"/>
  <c r="Q16" s="1"/>
  <c r="R16" s="1"/>
  <c r="M18"/>
  <c r="N18" s="1"/>
  <c r="O18"/>
  <c r="P18"/>
  <c r="M21"/>
  <c r="N21" s="1"/>
  <c r="O21"/>
  <c r="M22"/>
  <c r="N22" s="1"/>
  <c r="O22"/>
  <c r="P22"/>
  <c r="M24"/>
  <c r="N24" s="1"/>
  <c r="O24"/>
  <c r="P24"/>
  <c r="M25"/>
  <c r="N25" s="1"/>
  <c r="Q25" s="1"/>
  <c r="R25" s="1"/>
  <c r="M26"/>
  <c r="N26" s="1"/>
  <c r="O26"/>
  <c r="P26"/>
  <c r="M27"/>
  <c r="N27" s="1"/>
  <c r="Q27" s="1"/>
  <c r="R27" s="1"/>
  <c r="M28"/>
  <c r="N28" s="1"/>
  <c r="Q28" s="1"/>
  <c r="R28" s="1"/>
  <c r="M30"/>
  <c r="N30" s="1"/>
  <c r="O30"/>
  <c r="P30"/>
  <c r="Q31"/>
  <c r="R31" s="1"/>
  <c r="R32"/>
  <c r="R29"/>
  <c r="R20"/>
  <c r="R17"/>
  <c r="M10"/>
  <c r="M20"/>
  <c r="M35"/>
  <c r="M17"/>
  <c r="K40"/>
  <c r="G40"/>
  <c r="C40"/>
  <c r="I34"/>
  <c r="E34"/>
  <c r="K6" i="19"/>
  <c r="I48" i="8"/>
  <c r="J45" l="1"/>
  <c r="K45" s="1"/>
  <c r="K50" s="1"/>
  <c r="K52" s="1"/>
  <c r="I50"/>
  <c r="Q30" i="22"/>
  <c r="R30" s="1"/>
  <c r="Q22"/>
  <c r="R22" s="1"/>
  <c r="J47" i="8"/>
  <c r="K47" s="1"/>
  <c r="J38" i="22"/>
  <c r="J27"/>
  <c r="E40"/>
  <c r="M39"/>
  <c r="J22"/>
  <c r="J19"/>
  <c r="J48" i="8"/>
  <c r="C41" i="22"/>
  <c r="E41" s="1"/>
  <c r="J25"/>
  <c r="J23"/>
  <c r="J21"/>
  <c r="I33"/>
  <c r="J28"/>
  <c r="M15"/>
  <c r="Q21"/>
  <c r="R21" s="1"/>
  <c r="M36"/>
  <c r="J30"/>
  <c r="J18"/>
  <c r="J31"/>
  <c r="K41"/>
  <c r="M37"/>
  <c r="Q18"/>
  <c r="R18" s="1"/>
  <c r="E33"/>
  <c r="G41"/>
  <c r="D16" i="2"/>
  <c r="D27" s="1"/>
  <c r="J24" i="22"/>
  <c r="J39"/>
  <c r="M38"/>
  <c r="J26"/>
  <c r="J16"/>
  <c r="J14"/>
  <c r="J37"/>
  <c r="Q26"/>
  <c r="R26" s="1"/>
  <c r="Q24"/>
  <c r="R24" s="1"/>
  <c r="Q23"/>
  <c r="R23" s="1"/>
  <c r="J36"/>
  <c r="I40"/>
  <c r="G36" i="19"/>
  <c r="G46" s="1"/>
  <c r="G48" s="1"/>
  <c r="J35"/>
  <c r="L6"/>
  <c r="K13"/>
  <c r="M28"/>
  <c r="M29" s="1"/>
  <c r="M19"/>
  <c r="M25" s="1"/>
  <c r="L25"/>
  <c r="K46" i="8"/>
  <c r="M40" i="19"/>
  <c r="J50" i="8" l="1"/>
  <c r="D8" i="4"/>
  <c r="D31" i="2"/>
  <c r="I14" i="8"/>
  <c r="J14" s="1"/>
  <c r="I41" i="22"/>
  <c r="J33"/>
  <c r="J41" s="1"/>
  <c r="J36" i="19"/>
  <c r="J46" s="1"/>
  <c r="J40" i="22"/>
  <c r="Q33"/>
  <c r="R33" s="1"/>
  <c r="M6" i="19"/>
  <c r="M13" s="1"/>
  <c r="L13"/>
  <c r="K35"/>
  <c r="K36" s="1"/>
  <c r="K46" s="1"/>
  <c r="H36"/>
  <c r="H46" s="1"/>
  <c r="H48" s="1"/>
  <c r="M31"/>
  <c r="L35" l="1"/>
  <c r="L36" l="1"/>
  <c r="M35"/>
  <c r="M36" s="1"/>
  <c r="D20" i="1"/>
  <c r="D27" s="1"/>
  <c r="I26" i="8" l="1"/>
  <c r="J26" s="1"/>
  <c r="J40" s="1"/>
  <c r="J52" s="1"/>
  <c r="C20" i="1" s="1"/>
  <c r="L44" i="19"/>
  <c r="L46" s="1"/>
  <c r="I40" i="8" l="1"/>
  <c r="I52" s="1"/>
  <c r="C27" i="1"/>
  <c r="M39" i="19"/>
  <c r="M44" s="1"/>
  <c r="M46" s="1"/>
  <c r="C8" i="1" l="1"/>
  <c r="C16" s="1"/>
  <c r="E27" s="1"/>
  <c r="E13" i="4"/>
  <c r="D8" i="1" s="1"/>
  <c r="D16" s="1"/>
  <c r="F27" s="1"/>
</calcChain>
</file>

<file path=xl/comments1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Amortization
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Amortization
</t>
        </r>
      </text>
    </comment>
    <comment ref="A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Different Sheets for Depreciation Head Wise
</t>
        </r>
      </text>
    </comment>
  </commentList>
</comments>
</file>

<file path=xl/sharedStrings.xml><?xml version="1.0" encoding="utf-8"?>
<sst xmlns="http://schemas.openxmlformats.org/spreadsheetml/2006/main" count="3305" uniqueCount="1457">
  <si>
    <t xml:space="preserve">               </t>
  </si>
  <si>
    <t>Payment of Security Deposit /Liabilities :</t>
  </si>
  <si>
    <t xml:space="preserve">                     ii) Me.S.E.B.</t>
  </si>
  <si>
    <t>I. Opening Balances :</t>
  </si>
  <si>
    <t>c) Bank Balances :</t>
  </si>
  <si>
    <t xml:space="preserve">    iii) Pension</t>
  </si>
  <si>
    <t xml:space="preserve">    iv) Security Charges</t>
  </si>
  <si>
    <t xml:space="preserve">     1. Capital Reserve:</t>
  </si>
  <si>
    <t xml:space="preserve">    4. General Reserve:</t>
  </si>
  <si>
    <t xml:space="preserve">    3. Special Reserve:</t>
  </si>
  <si>
    <t xml:space="preserve">    2. Revaluation Reserve:</t>
  </si>
  <si>
    <t>II. Grants Received:</t>
  </si>
  <si>
    <t>Fees/Subscriptions</t>
  </si>
  <si>
    <t>Income from Royalty, Publication etc.</t>
  </si>
  <si>
    <t>Interest Earned</t>
  </si>
  <si>
    <t>Other Income</t>
  </si>
  <si>
    <t>Increase/(decrease) in stock of finished goods and works-in-progress</t>
  </si>
  <si>
    <t>TOTAL (A)</t>
  </si>
  <si>
    <t>EXPENDITURE</t>
  </si>
  <si>
    <t>Establishment Expenses</t>
  </si>
  <si>
    <t>Other Administrative Expenses</t>
  </si>
  <si>
    <t>Expenditure on Grants, Subsidies etc.</t>
  </si>
  <si>
    <t>Interest</t>
  </si>
  <si>
    <t>Depreciation (Net Total at the year end - corresponding to Schedule 8)</t>
  </si>
  <si>
    <t>TOTAL (B)</t>
  </si>
  <si>
    <t>Transfer to Special Reserve (Specify each)</t>
  </si>
  <si>
    <t>Balance as at the beginning of the year</t>
  </si>
  <si>
    <t>SCHEDULE 2 - RESERVES AND SURPLUS :</t>
  </si>
  <si>
    <t xml:space="preserve">                   Less : Decuctions during the year</t>
  </si>
  <si>
    <t xml:space="preserve">       e) Additional Work in Hospital &amp; Main Building</t>
  </si>
  <si>
    <t>TOTAL OF CURRENT YEAR (A)</t>
  </si>
  <si>
    <t>PREVIOUS YEAR</t>
  </si>
  <si>
    <t>B. CAPITAL WORK -IN-PROGRESS</t>
  </si>
  <si>
    <t xml:space="preserve">              a) Security Accomodation</t>
  </si>
  <si>
    <t xml:space="preserve">              b) Construction of C &amp; D Quarters</t>
  </si>
  <si>
    <t xml:space="preserve">              c) Permanent Campus</t>
  </si>
  <si>
    <t xml:space="preserve">              d) Nursing College</t>
  </si>
  <si>
    <t>GRAND TOTAL (A + B)</t>
  </si>
  <si>
    <t xml:space="preserve">                   Addition during the year</t>
  </si>
  <si>
    <t xml:space="preserve">                   As per last Account</t>
  </si>
  <si>
    <t>SCHEDULE 3 - EARMARKED/ENDOWMENT FUNDS</t>
  </si>
  <si>
    <t xml:space="preserve">   a) Opening balance of the funds</t>
  </si>
  <si>
    <t xml:space="preserve">   b) Additions to the Funds :</t>
  </si>
  <si>
    <t xml:space="preserve">        i. Donations/grants</t>
  </si>
  <si>
    <t>TOTAL (a+b)</t>
  </si>
  <si>
    <t xml:space="preserve">   c) Utilisation/Expenditure towards objectives of funds</t>
  </si>
  <si>
    <t xml:space="preserve">       i   Capital Expenditure</t>
  </si>
  <si>
    <t xml:space="preserve">                 - Fixed Assets</t>
  </si>
  <si>
    <t xml:space="preserve">                 - Others</t>
  </si>
  <si>
    <t xml:space="preserve">                 Total</t>
  </si>
  <si>
    <t xml:space="preserve">       ii   Revenue Expenditure</t>
  </si>
  <si>
    <t xml:space="preserve">                 -   Salaries, Wages and allowances etc.</t>
  </si>
  <si>
    <t xml:space="preserve">                   Total</t>
  </si>
  <si>
    <t>g) Janani Suraksha Yojana</t>
  </si>
  <si>
    <t>h) National Aids Control</t>
  </si>
  <si>
    <t>a) Nursing College :</t>
  </si>
  <si>
    <t xml:space="preserve">                 -   Rent</t>
  </si>
  <si>
    <t xml:space="preserve">                 -   Other Administrative expenses</t>
  </si>
  <si>
    <t xml:space="preserve">    NET BALANCE AS AT THE YEAR END (a + b - c)</t>
  </si>
  <si>
    <t xml:space="preserve">       g) C &amp; D Quarters</t>
  </si>
  <si>
    <t xml:space="preserve">       h) Construction of Security Accomodation</t>
  </si>
  <si>
    <t>I. Expenses :</t>
  </si>
  <si>
    <t>c) Repairs &amp; Maintenance:</t>
  </si>
  <si>
    <t>d) Purchase of Fixed Assets :</t>
  </si>
  <si>
    <t>II</t>
  </si>
  <si>
    <t>III</t>
  </si>
  <si>
    <t>Other Expenses :</t>
  </si>
  <si>
    <t>e) Payment of Advances :</t>
  </si>
  <si>
    <t>f)  Payment of Recovery from Staffs :</t>
  </si>
  <si>
    <t>h) Other Paymets :</t>
  </si>
  <si>
    <t xml:space="preserve">     a) HSCC</t>
  </si>
  <si>
    <t xml:space="preserve">     b) Manning of Sub-Station at Permanent Campus</t>
  </si>
  <si>
    <t xml:space="preserve">     c) Civil Works</t>
  </si>
  <si>
    <t xml:space="preserve">         iii) Consultancy Fee</t>
  </si>
  <si>
    <t>a) Guest House :</t>
  </si>
  <si>
    <t>b) Nursing College :</t>
  </si>
  <si>
    <t>c) MBBS :</t>
  </si>
  <si>
    <t>b) Hospital Charges:</t>
  </si>
  <si>
    <t>c) MBBS / PG :</t>
  </si>
  <si>
    <t xml:space="preserve">     2) Plans Funds received from the Central/State Governments</t>
  </si>
  <si>
    <t xml:space="preserve">        are to be shown as separate Funds and not to be mixed up</t>
  </si>
  <si>
    <t xml:space="preserve">        with any other Funds.</t>
  </si>
  <si>
    <t>SCHEDULE 4 - SECURED LOANS AND BORROWINGS :</t>
  </si>
  <si>
    <t xml:space="preserve">          1. Central Government</t>
  </si>
  <si>
    <t xml:space="preserve">          2. State Government (Specify)</t>
  </si>
  <si>
    <t xml:space="preserve">          3. Financial Institutions</t>
  </si>
  <si>
    <t xml:space="preserve">              a)   Term loans</t>
  </si>
  <si>
    <t xml:space="preserve">              b)   Interest accrued and due</t>
  </si>
  <si>
    <t xml:space="preserve">          4. Banks :</t>
  </si>
  <si>
    <t xml:space="preserve">                      a)    Term Loans</t>
  </si>
  <si>
    <t xml:space="preserve">                             -  Interest accrued and due</t>
  </si>
  <si>
    <t xml:space="preserve">       ii)  Miscellaneous</t>
  </si>
  <si>
    <t>NORTH EASTERN INDIRA GANDHI REGIONAL INSTITUTE OF HEALTH AND MEDICAL SCIENCES: SHILLONG.</t>
  </si>
  <si>
    <t xml:space="preserve">       a) Freehold (land and Boundary Wall at Mawdiangdiang)</t>
  </si>
  <si>
    <t xml:space="preserve">       b) Leasehold</t>
  </si>
  <si>
    <t xml:space="preserve">       a)  On Free hold Land </t>
  </si>
  <si>
    <t xml:space="preserve">       b)  On Leasehold Land (IHF main Bldg)</t>
  </si>
  <si>
    <t xml:space="preserve">       c)  Ownership Flats/Premises  </t>
  </si>
  <si>
    <t xml:space="preserve">       d)  Superstructures on Land not belonging to the</t>
  </si>
  <si>
    <t xml:space="preserve">            entity (Dr. Qtr.)</t>
  </si>
  <si>
    <t>3.    PLANT MACHINERY &amp; EQUIPMENT</t>
  </si>
  <si>
    <t>SCHEDULE 11 - CURRENT ASSETS, LOANS, ADVANCES ETC. (Contd)</t>
  </si>
  <si>
    <t xml:space="preserve">                              -  Interest accrued and due</t>
  </si>
  <si>
    <t xml:space="preserve">          5. Other Institutions and Agencies</t>
  </si>
  <si>
    <t>Note : Amounts due within one year</t>
  </si>
  <si>
    <t>SCHEDULE 5 - UNSECURED LOANS AND BORROWINGS</t>
  </si>
  <si>
    <t xml:space="preserve">      1.  Central Government</t>
  </si>
  <si>
    <t xml:space="preserve">      3.  Financial institutions</t>
  </si>
  <si>
    <t xml:space="preserve">      4.  Banks</t>
  </si>
  <si>
    <t xml:space="preserve">                    a)  Term Loans</t>
  </si>
  <si>
    <t xml:space="preserve">                    b)  Other loans (specify)</t>
  </si>
  <si>
    <t xml:space="preserve">      5.  Other Institutions and Agencies</t>
  </si>
  <si>
    <t xml:space="preserve"> </t>
  </si>
  <si>
    <t xml:space="preserve">      6.  Debentures and Bonds</t>
  </si>
  <si>
    <t xml:space="preserve">      7.  Fixed Deposits</t>
  </si>
  <si>
    <t xml:space="preserve">      8.  Others  (Specify)</t>
  </si>
  <si>
    <t>SCHEDULE 6 - DEFERRED CREDIT LIABILITIES :</t>
  </si>
  <si>
    <t xml:space="preserve">           b)  Others</t>
  </si>
  <si>
    <t>NOTE : Amounts due within one year</t>
  </si>
  <si>
    <t>Fund WW</t>
  </si>
  <si>
    <t>Fund XX</t>
  </si>
  <si>
    <t>Fund YY</t>
  </si>
  <si>
    <t>Fund ZZ</t>
  </si>
  <si>
    <t>FUND WISE BREAK UP</t>
  </si>
  <si>
    <t>SCHEDULE 7 - CURRENT LIABILITIES AND PROVISIONS</t>
  </si>
  <si>
    <t>TOTAL  (B)</t>
  </si>
  <si>
    <t>TOTAL (A+B)</t>
  </si>
  <si>
    <t>SCHEDULE 8 - FIXED ASSETS</t>
  </si>
  <si>
    <t>DESCRIPTIONS</t>
  </si>
  <si>
    <t>As at the beginning of the year</t>
  </si>
  <si>
    <t>GROSS BLOCK</t>
  </si>
  <si>
    <t>DEPRECIATION</t>
  </si>
  <si>
    <t>NET BLOCK</t>
  </si>
  <si>
    <t>A. FIXED ASSETS :</t>
  </si>
  <si>
    <t>1.    LAND</t>
  </si>
  <si>
    <t>2.    BUILDINGS</t>
  </si>
  <si>
    <t>4.   VEHICLES</t>
  </si>
  <si>
    <t>6.    OFFICE EQUIPMENT</t>
  </si>
  <si>
    <t>7.    COMPUTER/PERIPHERALS</t>
  </si>
  <si>
    <t>8.     ELECTRIC INSTALLATIONS</t>
  </si>
  <si>
    <t>10.   TUBEWELLS &amp; WATER SUPPLY</t>
  </si>
  <si>
    <t>SCHEDULE 9 -INVESTMENTS FROM EARMARKED/ENDOWMENT FUNDS</t>
  </si>
  <si>
    <t xml:space="preserve">                   1.  In Government Securities</t>
  </si>
  <si>
    <t xml:space="preserve">                   2.  Other approved Securities</t>
  </si>
  <si>
    <t xml:space="preserve">                   3.  Shares</t>
  </si>
  <si>
    <t xml:space="preserve">                   4.  Debentures and Bonds</t>
  </si>
  <si>
    <t xml:space="preserve">                   5.  Subsidiaries and Joint Ventures</t>
  </si>
  <si>
    <t xml:space="preserve">                   6.  Others (to be specified)</t>
  </si>
  <si>
    <t xml:space="preserve">                 TOTAL</t>
  </si>
  <si>
    <t>SCHEDULE 10 - INVESTMENTS - OTHERS</t>
  </si>
  <si>
    <t>SCHEDULE 11 - CURRENT ASSETS, LOANS, ADVANCES ETC.</t>
  </si>
  <si>
    <t>A. CURRENT ASSETS :</t>
  </si>
  <si>
    <t>SCHEDULES 11 - CURRENT ASSETS, LOANS, ADVANCES ETC. (Contd.)</t>
  </si>
  <si>
    <t>B. LOANS, ADVANCES AND OTHERS ASSETS</t>
  </si>
  <si>
    <t xml:space="preserve">                                     (includes income due unrealised-Rs………………….)</t>
  </si>
  <si>
    <t>TOTAL ( A + B)</t>
  </si>
  <si>
    <t>SCHEDULE 12 - INCOME FROM SALES/SERVICES</t>
  </si>
  <si>
    <t xml:space="preserve">                 1) Income from sales</t>
  </si>
  <si>
    <t xml:space="preserve">                                a) Sale of Finished Goods</t>
  </si>
  <si>
    <t xml:space="preserve">                                b) Sale of Raw Material</t>
  </si>
  <si>
    <t xml:space="preserve">                                c) Sale of Scraps</t>
  </si>
  <si>
    <t xml:space="preserve">                 2) Income from services</t>
  </si>
  <si>
    <t xml:space="preserve">                                a)  Labour and Processing Charges</t>
  </si>
  <si>
    <t xml:space="preserve">                                b)  Professional/Consultancy Services</t>
  </si>
  <si>
    <t>g) Payment of Outstanding Liabilities :</t>
  </si>
  <si>
    <t xml:space="preserve">                        d) Bank of Baroda- Police Bazar (FD Nursing College)</t>
  </si>
  <si>
    <t xml:space="preserve">                                e)  Others (Specify)</t>
  </si>
  <si>
    <t xml:space="preserve">                            d) Guest House</t>
  </si>
  <si>
    <t xml:space="preserve">                            e) Pharmacy</t>
  </si>
  <si>
    <t xml:space="preserve">                            f) Hospital Charges</t>
  </si>
  <si>
    <t xml:space="preserve">                            h) GFATM</t>
  </si>
  <si>
    <t xml:space="preserve">                            g) Library</t>
  </si>
  <si>
    <t>k) GFATM Project</t>
  </si>
  <si>
    <t>l) Evaluation cum Impact Study-NEC</t>
  </si>
  <si>
    <t>m) PMR Medical College</t>
  </si>
  <si>
    <t>o) DGHS</t>
  </si>
  <si>
    <t>a) On Term Loans</t>
  </si>
  <si>
    <t>b) On Bank Deposits</t>
  </si>
  <si>
    <t xml:space="preserve">     Guest House</t>
  </si>
  <si>
    <t xml:space="preserve">     Pharmacy</t>
  </si>
  <si>
    <t xml:space="preserve">     Hospital Charges</t>
  </si>
  <si>
    <t xml:space="preserve">     Library</t>
  </si>
  <si>
    <t xml:space="preserve">     GFATM</t>
  </si>
  <si>
    <t xml:space="preserve">                                d)  Maintenance Services (Equipment/Property)</t>
  </si>
  <si>
    <t xml:space="preserve">                                c)  Agency Commission and Brokerage</t>
  </si>
  <si>
    <t>(Irrevocable Grants &amp; Subsidies received)</t>
  </si>
  <si>
    <t>SCHEDULE 14 - FEES/SUBSCRIPTIONS</t>
  </si>
  <si>
    <t xml:space="preserve">             2)  Annual Fees/Subscriptions</t>
  </si>
  <si>
    <t xml:space="preserve">             4)  Consultancy Fees</t>
  </si>
  <si>
    <t xml:space="preserve">       Note : Accounting Policies towards each item are to be disclosed</t>
  </si>
  <si>
    <t>(Income on Invest from Earmarked/Endowment Funds transferred to Funds)</t>
  </si>
  <si>
    <t xml:space="preserve">             1)  Interest</t>
  </si>
  <si>
    <t xml:space="preserve">                            a)  On Govt. Securities</t>
  </si>
  <si>
    <t xml:space="preserve">                            b)  Other Bonds/Debentures</t>
  </si>
  <si>
    <t xml:space="preserve">             2)  Dividends</t>
  </si>
  <si>
    <t xml:space="preserve">                            a)  On Shares</t>
  </si>
  <si>
    <t xml:space="preserve">                            b)  On Mutual Fund Securities</t>
  </si>
  <si>
    <t xml:space="preserve">             3)  Rents</t>
  </si>
  <si>
    <t xml:space="preserve">             4)  Others (Specify)</t>
  </si>
  <si>
    <t>Investment From Earmarked Fund</t>
  </si>
  <si>
    <t>Investment - Others</t>
  </si>
  <si>
    <t>Net</t>
  </si>
  <si>
    <t>Dep</t>
  </si>
  <si>
    <t xml:space="preserve">              b) Fixed Assets (GFATM Project)</t>
  </si>
  <si>
    <t>total</t>
  </si>
  <si>
    <t>TRANSFERRED TO EARMARKED/ENDOWMENT FUNDS</t>
  </si>
  <si>
    <t>SCHEDULE 16 - INCOME FROM ROYALTY, PUBLICATION ETC.</t>
  </si>
  <si>
    <t xml:space="preserve">             1)  Income from Royalty</t>
  </si>
  <si>
    <t xml:space="preserve">             2)  Income from Publications</t>
  </si>
  <si>
    <t xml:space="preserve">             3)  Others (Specify)</t>
  </si>
  <si>
    <t>SCHEDULE 17 - INTEREST EARNED</t>
  </si>
  <si>
    <t xml:space="preserve">             1)  On Term Deposits :</t>
  </si>
  <si>
    <t xml:space="preserve">                            a)  With Scheduled Banks</t>
  </si>
  <si>
    <t xml:space="preserve">                            b)  With Non-Scheduled Banks</t>
  </si>
  <si>
    <t xml:space="preserve">                            c)  With Institutions</t>
  </si>
  <si>
    <t xml:space="preserve">                            d)  Others</t>
  </si>
  <si>
    <t xml:space="preserve">              2)  On Savings Accounts</t>
  </si>
  <si>
    <t xml:space="preserve">                            c) Post Office Savings Accounts</t>
  </si>
  <si>
    <t xml:space="preserve">               3)  On Loans :</t>
  </si>
  <si>
    <t xml:space="preserve">               4)  Interest on Debtors and Other Receivables</t>
  </si>
  <si>
    <t>Note - Tax deducted at source to be indicated</t>
  </si>
  <si>
    <t>SCHEDULE - 18 - OTHER INCOME</t>
  </si>
  <si>
    <t xml:space="preserve">                           - Work-in-progress</t>
  </si>
  <si>
    <t xml:space="preserve">           b) Less Opening Stock</t>
  </si>
  <si>
    <t>SCHEDULE 20 - ESTABLISHMENT EXPENSES</t>
  </si>
  <si>
    <t xml:space="preserve">          c)  Contribution to Provident Fund</t>
  </si>
  <si>
    <t xml:space="preserve">          d)  Contribution to Other Fund (specify)</t>
  </si>
  <si>
    <t xml:space="preserve">          e)  Staff Welfare Expenses</t>
  </si>
  <si>
    <t>SCHEDULE 21 - OTHER ADMINISTRATIVE EXPENSES</t>
  </si>
  <si>
    <t>SCHEDULE 22 - EXPENDITURE ON GRANTS, SUBSIDIES ETC.</t>
  </si>
  <si>
    <t xml:space="preserve">         a)  Grants given to Institutions/Organisations</t>
  </si>
  <si>
    <t xml:space="preserve">         b)  Subsidies given to Institutions/Organisations</t>
  </si>
  <si>
    <t xml:space="preserve">        Note - Name of the Entities, their Activities along with the amount of grants/Subsidies are to be disclosed</t>
  </si>
  <si>
    <t>SCHEDULE 23 - INTEREST</t>
  </si>
  <si>
    <t xml:space="preserve">           a)  On Fixed loans</t>
  </si>
  <si>
    <t xml:space="preserve">           b)  On Other Loans (including Bank Charges)</t>
  </si>
  <si>
    <t xml:space="preserve">           c)  Others (specify)</t>
  </si>
  <si>
    <t>RECEIPTS</t>
  </si>
  <si>
    <t>PAYMENTS</t>
  </si>
  <si>
    <t xml:space="preserve">                            c)  Interest on Computer</t>
  </si>
  <si>
    <t>5.    FURNITURE FIXTURES</t>
  </si>
  <si>
    <t>BALANCE AS AT THE YEAR - END</t>
  </si>
  <si>
    <t>-</t>
  </si>
  <si>
    <t xml:space="preserve">  </t>
  </si>
  <si>
    <t xml:space="preserve">                      b)    Other Loans (specify)</t>
  </si>
  <si>
    <t xml:space="preserve">      2.  State Government (Specify)</t>
  </si>
  <si>
    <t xml:space="preserve">                   6.  Others :  Fixed Deposit with </t>
  </si>
  <si>
    <t xml:space="preserve">                        c) Allahabad Bank</t>
  </si>
  <si>
    <t xml:space="preserve">                        b) Indian Bank</t>
  </si>
  <si>
    <t>9.     LIBRARY BOOKS (Books &amp; Journals)</t>
  </si>
  <si>
    <t xml:space="preserve">              i) Security Charges</t>
  </si>
  <si>
    <t>UNSECURED LOANS AND BORROWINGS</t>
  </si>
  <si>
    <t>a) Cash in Hand :</t>
  </si>
  <si>
    <t xml:space="preserve">                   Less : Deductions during the year</t>
  </si>
  <si>
    <t>Cost/valuation       As at beginning of the year</t>
  </si>
  <si>
    <t>SCHEDULE 15 - INCOME FROM INVESTMENTS</t>
  </si>
  <si>
    <t xml:space="preserve">             5)  Others : Licence Fees</t>
  </si>
  <si>
    <t>SCHEDULE 21 - OTHER ADMINISTRATIVE EXPENSES (Contd…)</t>
  </si>
  <si>
    <t>SCHEDULE 7 - CURRENT LIABILITIES AND PROVISIONS (Contd….)</t>
  </si>
  <si>
    <t>RESERVE AND SURPLUS</t>
  </si>
  <si>
    <t>Income from Investments (Income on Invest from earmarked/endow Funds transferred to Funds)</t>
  </si>
  <si>
    <r>
      <t xml:space="preserve">  </t>
    </r>
    <r>
      <rPr>
        <b/>
        <sz val="12"/>
        <rFont val="Arial Narrow"/>
        <family val="2"/>
      </rPr>
      <t>NORTH EASTERN INDIRA GANDHI REGIONAL INSTITUTE OF HEALTH AND MEDICAL SCIENCES: SHILLONG</t>
    </r>
    <r>
      <rPr>
        <sz val="12"/>
        <rFont val="Arial Narrow"/>
        <family val="2"/>
      </rPr>
      <t>.</t>
    </r>
  </si>
  <si>
    <r>
      <t xml:space="preserve"> </t>
    </r>
    <r>
      <rPr>
        <b/>
        <sz val="12"/>
        <rFont val="Arial Narrow"/>
        <family val="2"/>
      </rPr>
      <t>NORTH EASTERN INDIRA GANDHI REGIONAL INSTITUTE OF HEALTH AND MEDICAL SCIENCES: SHILLONG</t>
    </r>
    <r>
      <rPr>
        <sz val="12"/>
        <rFont val="Arial Narrow"/>
        <family val="2"/>
      </rPr>
      <t>.</t>
    </r>
  </si>
  <si>
    <r>
      <t xml:space="preserve"> </t>
    </r>
    <r>
      <rPr>
        <b/>
        <sz val="12"/>
        <rFont val="Arial Narrow"/>
        <family val="2"/>
      </rPr>
      <t>NORTH EASTERN INDIRA GANDHI REGIONAL INSTITUTE OF HEALTH AND MEDICAL SCIENCES : SHILLONG</t>
    </r>
    <r>
      <rPr>
        <sz val="12"/>
        <rFont val="Arial Narrow"/>
        <family val="2"/>
      </rPr>
      <t>.</t>
    </r>
  </si>
  <si>
    <t>Amount - Rs.</t>
  </si>
  <si>
    <t xml:space="preserve">TOTAL </t>
  </si>
  <si>
    <t>VII. Any other receipts (give details)</t>
  </si>
  <si>
    <t>iv)Tubewell &amp; Water Supply</t>
  </si>
  <si>
    <t>i) On Leasehold Land (IHF main Bldg)</t>
  </si>
  <si>
    <t xml:space="preserve">                        a) UBI </t>
  </si>
  <si>
    <t>(h) Furniture &amp; Fixtures :</t>
  </si>
  <si>
    <t xml:space="preserve">   ii) at MBBS Project</t>
  </si>
  <si>
    <t xml:space="preserve">             3)  Seminar/Program Fees</t>
  </si>
  <si>
    <t xml:space="preserve">        </t>
  </si>
  <si>
    <t>(f) Computer/Peripherals :</t>
  </si>
  <si>
    <t xml:space="preserve">       ii) at Atlas Project</t>
  </si>
  <si>
    <t xml:space="preserve">   i) at Neigrihms</t>
  </si>
  <si>
    <t>CAPITAL FUND AND LIABILITIES</t>
  </si>
  <si>
    <t>CAPITAL FUND</t>
  </si>
  <si>
    <t>SCHEDULE 1- CAPITAL FUND</t>
  </si>
  <si>
    <t xml:space="preserve">          b)  Honorarium</t>
  </si>
  <si>
    <t xml:space="preserve">          a)  Salaries and Wages </t>
  </si>
  <si>
    <t>BALANCE BEING SURPLUS CARRIED TO  CAPITAL FUND</t>
  </si>
  <si>
    <t>SCHEDULE 13 - GRANTS</t>
  </si>
  <si>
    <t>Grants</t>
  </si>
  <si>
    <t xml:space="preserve">                            -Consumables &amp;Medicines</t>
  </si>
  <si>
    <t xml:space="preserve">              iii) New Pension Scheme -Govt.</t>
  </si>
  <si>
    <t>Total (Rs)</t>
  </si>
  <si>
    <t>(a) Building:</t>
  </si>
  <si>
    <t>(b) Capital Work in Progress</t>
  </si>
  <si>
    <t>(c)Land</t>
  </si>
  <si>
    <t>i. Medical Equipment</t>
  </si>
  <si>
    <t xml:space="preserve">       (e) Books &amp; Journals</t>
  </si>
  <si>
    <t>(g) Electrical Installation</t>
  </si>
  <si>
    <t>(j) Sports Equipments</t>
  </si>
  <si>
    <t>Head of Account</t>
  </si>
  <si>
    <t>Amount Depreciated</t>
  </si>
  <si>
    <t>Rate of Depreciation</t>
  </si>
  <si>
    <t>Total:</t>
  </si>
  <si>
    <t>100% of Column B</t>
  </si>
  <si>
    <t>50% of Column B</t>
  </si>
  <si>
    <t>Net Block</t>
  </si>
  <si>
    <t xml:space="preserve">       ii) Superstructures on Land</t>
  </si>
  <si>
    <t>iii) Minor Civil Works</t>
  </si>
  <si>
    <t>b) Recovery from Staffs:</t>
  </si>
  <si>
    <t>Opening Balance (Rs)</t>
  </si>
  <si>
    <t xml:space="preserve">                        e) Bank of Baroda- Mawdiangdiang</t>
  </si>
  <si>
    <t xml:space="preserve">                        f) Punjab National Bank</t>
  </si>
  <si>
    <t xml:space="preserve">             1) Entrance/Centre Fees (Sale of Forms) </t>
  </si>
  <si>
    <t xml:space="preserve">                a) Imprest :</t>
  </si>
  <si>
    <t xml:space="preserve">     iv) Library</t>
  </si>
  <si>
    <t>a)  Purchases</t>
  </si>
  <si>
    <t>b)  Labour and Processing Expenses</t>
  </si>
  <si>
    <t>c)  Cartage and Carriage Inwards</t>
  </si>
  <si>
    <t>d)  Electricity and Power</t>
  </si>
  <si>
    <t xml:space="preserve">                       v)   House Building Allowance</t>
  </si>
  <si>
    <t xml:space="preserve">                     a)  Owned assets</t>
  </si>
  <si>
    <t xml:space="preserve">                     b)  asstes acquired out of grants, or received free of cost</t>
  </si>
  <si>
    <t xml:space="preserve">    1)  Profit on sale/disposal of assets :</t>
  </si>
  <si>
    <t xml:space="preserve">    2)  Export Incentives realized</t>
  </si>
  <si>
    <t xml:space="preserve">    3)  Fees for Miscellaneous Services </t>
  </si>
  <si>
    <t xml:space="preserve">       1. Loans:</t>
  </si>
  <si>
    <t xml:space="preserve">       2.  Advances and other amounts recoverable in cash or in kind or for</t>
  </si>
  <si>
    <t xml:space="preserve">                a)  Staff</t>
  </si>
  <si>
    <t xml:space="preserve">                b)  Other Entities engaged in activities/objectives similar to that</t>
  </si>
  <si>
    <t xml:space="preserve">                     of the Entity</t>
  </si>
  <si>
    <t xml:space="preserve">                c)  Other (specify)</t>
  </si>
  <si>
    <t xml:space="preserve">                a)  On Capital Account</t>
  </si>
  <si>
    <t xml:space="preserve">                     i)  HSCCIL for :</t>
  </si>
  <si>
    <t xml:space="preserve">                            Civil Works :</t>
  </si>
  <si>
    <t xml:space="preserve">                                  Interim hospital Facility</t>
  </si>
  <si>
    <t xml:space="preserve">                                  Permanent Campus</t>
  </si>
  <si>
    <r>
      <t xml:space="preserve">  </t>
    </r>
    <r>
      <rPr>
        <b/>
        <sz val="11"/>
        <rFont val="Arial Narrow"/>
        <family val="2"/>
      </rPr>
      <t>NORTH EASTERN INDIRA GANDHI REGIONAL INSTITUTE OF HEALTH AND MEDICAL SCIENCES: SHILLONG</t>
    </r>
    <r>
      <rPr>
        <sz val="11"/>
        <rFont val="Arial Narrow"/>
        <family val="2"/>
      </rPr>
      <t>.</t>
    </r>
  </si>
  <si>
    <t xml:space="preserve">                     iii) Consultancy</t>
  </si>
  <si>
    <t xml:space="preserve">                     iv) Civil Works at IHF (Repair &amp; Maintenance)</t>
  </si>
  <si>
    <t xml:space="preserve">                     vi)  DAVP</t>
  </si>
  <si>
    <t xml:space="preserve">                 b)  Prepayments</t>
  </si>
  <si>
    <t>Expenses :</t>
  </si>
  <si>
    <t>Advances :</t>
  </si>
  <si>
    <t xml:space="preserve">                 c)  Others:</t>
  </si>
  <si>
    <t xml:space="preserve">                      i) Travelling</t>
  </si>
  <si>
    <t xml:space="preserve">                      ii) Festival</t>
  </si>
  <si>
    <t xml:space="preserve">                      iii) Committee/Meetings</t>
  </si>
  <si>
    <t xml:space="preserve">                       iv)  Medical</t>
  </si>
  <si>
    <t xml:space="preserve">       f) Civil Worlks (HSCC)</t>
  </si>
  <si>
    <t xml:space="preserve">        1. Inventories</t>
  </si>
  <si>
    <t xml:space="preserve">        2. Sundry Debtors</t>
  </si>
  <si>
    <t xml:space="preserve">                a) Consumables &amp; Medicines</t>
  </si>
  <si>
    <t xml:space="preserve">                b) Loose Tools</t>
  </si>
  <si>
    <t xml:space="preserve">                c) Stock-in-trade:</t>
  </si>
  <si>
    <t xml:space="preserve">                            Finished Goods</t>
  </si>
  <si>
    <t xml:space="preserve">                            Work-in-progress</t>
  </si>
  <si>
    <t xml:space="preserve">                            Raw Materials</t>
  </si>
  <si>
    <t xml:space="preserve">                a) Debts outstanding for a period exceeding six months</t>
  </si>
  <si>
    <t xml:space="preserve">                b) Others     </t>
  </si>
  <si>
    <t xml:space="preserve">                             -On Current Accounts</t>
  </si>
  <si>
    <t xml:space="preserve">                             -On Deposit Accounts</t>
  </si>
  <si>
    <t xml:space="preserve">                             -On Savings Accounts</t>
  </si>
  <si>
    <t>Additions      during the       year</t>
  </si>
  <si>
    <t xml:space="preserve"> Deductions   during the       year</t>
  </si>
  <si>
    <t>Cost/value          at the              year-end</t>
  </si>
  <si>
    <t>On Deductions           during                the year</t>
  </si>
  <si>
    <t>Total up               to the             Year-end</t>
  </si>
  <si>
    <t>As at                  the Current    year-end</t>
  </si>
  <si>
    <t>As at                  the Previous    year-end</t>
  </si>
  <si>
    <t>11.   Sports Equipment</t>
  </si>
  <si>
    <t>12.   OTHER FIXED ASSETS</t>
  </si>
  <si>
    <t xml:space="preserve">     i) Guest House</t>
  </si>
  <si>
    <t xml:space="preserve">     ii) Pharmacy</t>
  </si>
  <si>
    <t xml:space="preserve">     iii) Hospital Charges</t>
  </si>
  <si>
    <t xml:space="preserve">     i) In Current Accounts (P B Branch)</t>
  </si>
  <si>
    <t xml:space="preserve">     x. AMC/CMC</t>
  </si>
  <si>
    <t xml:space="preserve">     viii) Nursing College</t>
  </si>
  <si>
    <t xml:space="preserve">    vi) New Pension Scheme - Govt</t>
  </si>
  <si>
    <t xml:space="preserve">     i. Office</t>
  </si>
  <si>
    <t xml:space="preserve">     ii. Hospital</t>
  </si>
  <si>
    <t xml:space="preserve">     iii. Medical</t>
  </si>
  <si>
    <t xml:space="preserve">     iv. Others</t>
  </si>
  <si>
    <t xml:space="preserve">     v. Equipment</t>
  </si>
  <si>
    <t xml:space="preserve">     vii. IHF</t>
  </si>
  <si>
    <t xml:space="preserve">     viii.Nursing College</t>
  </si>
  <si>
    <t xml:space="preserve">             NORTH EASTERN INDIRA GANDHI REGIONAL INSTITUTE OF HEALTH AND MEDICAL SCIENCES: SHILLONG.</t>
  </si>
  <si>
    <t xml:space="preserve">       7.  Other Liabilities:</t>
  </si>
  <si>
    <t xml:space="preserve">        3. Cash Balances in hand (including cheques/drafts and Imprest)</t>
  </si>
  <si>
    <t xml:space="preserve">              a) Medical Equipments</t>
  </si>
  <si>
    <t xml:space="preserve">       1. Acceptances</t>
  </si>
  <si>
    <t xml:space="preserve">       2. Sundry Creditors :</t>
  </si>
  <si>
    <t xml:space="preserve">                   a)  For Goods</t>
  </si>
  <si>
    <t xml:space="preserve">                   b) Others </t>
  </si>
  <si>
    <t xml:space="preserve">       3.  Advances received</t>
  </si>
  <si>
    <t xml:space="preserve">       4.  Interest accrued but not due on :</t>
  </si>
  <si>
    <t xml:space="preserve">       5.  Statutory Liabilities :</t>
  </si>
  <si>
    <t xml:space="preserve">                   a)  Secured Loans/borrowings</t>
  </si>
  <si>
    <t xml:space="preserve">                   b)  Unsecured Loans/borrowings</t>
  </si>
  <si>
    <t xml:space="preserve">                   a)  Overdue</t>
  </si>
  <si>
    <t xml:space="preserve">                   b)  Others:</t>
  </si>
  <si>
    <t xml:space="preserve">                        i) Income Tax</t>
  </si>
  <si>
    <t xml:space="preserve">                        ii) Professional Tax</t>
  </si>
  <si>
    <t xml:space="preserve">                        iii) GI/GSLIS/CGEHS</t>
  </si>
  <si>
    <t xml:space="preserve">                        iv) GPF [Lien]</t>
  </si>
  <si>
    <t xml:space="preserve">       6.  Other current Liabilities</t>
  </si>
  <si>
    <t xml:space="preserve">     vi. Vehicle</t>
  </si>
  <si>
    <t xml:space="preserve">     ix. Main Building</t>
  </si>
  <si>
    <t xml:space="preserve">       1.  For Taxation</t>
  </si>
  <si>
    <t xml:space="preserve">       2.  Gratuity</t>
  </si>
  <si>
    <t xml:space="preserve">       3.  Superannuation/Pension</t>
  </si>
  <si>
    <t xml:space="preserve">       4.  Accumulated Leave Encashment</t>
  </si>
  <si>
    <t xml:space="preserve">       5.  Trade Warranties/Claims</t>
  </si>
  <si>
    <t xml:space="preserve">       6.  Others (Specify)</t>
  </si>
  <si>
    <t xml:space="preserve">           a)  Acceptances secured by hypothecation of capital equipment and other assets</t>
  </si>
  <si>
    <t xml:space="preserve">          6. Debentures and Bonds</t>
  </si>
  <si>
    <t>12.   GRID SUB STATION</t>
  </si>
  <si>
    <t xml:space="preserve">          7. Others (specify)</t>
  </si>
  <si>
    <t>TOTAL ( c )</t>
  </si>
  <si>
    <t xml:space="preserve">     1) Disclosures shall be made under relevant heads based on</t>
  </si>
  <si>
    <t>EARMARKED/ENDOWMENT FUNDS</t>
  </si>
  <si>
    <t>SECURED LOANS AND BORROWINGS</t>
  </si>
  <si>
    <t>DEFERRED CREDIT LIABILITIES</t>
  </si>
  <si>
    <t>CURRENT LIABILITIES AND PROVISIONS</t>
  </si>
  <si>
    <t>Schedule</t>
  </si>
  <si>
    <t>Current Year</t>
  </si>
  <si>
    <t>Previous Year</t>
  </si>
  <si>
    <t>TOTAL</t>
  </si>
  <si>
    <t>ASSETS</t>
  </si>
  <si>
    <t>FIXED ASSETS</t>
  </si>
  <si>
    <t>I) NEC Scheme</t>
  </si>
  <si>
    <t>j) DBT (Workshop )</t>
  </si>
  <si>
    <t>INVESTMENTS – FROM EARMARKED/ENDOWMENT FUNDS</t>
  </si>
  <si>
    <t>INVESTMENT-OTHERS</t>
  </si>
  <si>
    <t xml:space="preserve">          ( A/c No : 30270100002388 )</t>
  </si>
  <si>
    <t>CURRENT ASSETS, LOANS, ADVANCES ETC</t>
  </si>
  <si>
    <t>MISCELLANEOUS EXPENDITURE</t>
  </si>
  <si>
    <t>(to the extent not written off or adjusted)</t>
  </si>
  <si>
    <t>SIGNIFICANT ACCOUNTING POLICIES</t>
  </si>
  <si>
    <t>CONTINGENT LIABILITIES AND NOTES ON ACCOUNTS</t>
  </si>
  <si>
    <t>INCOME</t>
  </si>
  <si>
    <t>Current year</t>
  </si>
  <si>
    <t>Income from Sales/Services</t>
  </si>
  <si>
    <t>On Op. Bal. &amp; Additions during the year</t>
  </si>
  <si>
    <t>a) From Goverment of India</t>
  </si>
  <si>
    <t>b) From State governemnt</t>
  </si>
  <si>
    <t>c) From other sources (details)</t>
  </si>
  <si>
    <t xml:space="preserve">    (Grants for capital &amp; revenue</t>
  </si>
  <si>
    <t xml:space="preserve">     exp. To be shown separately)</t>
  </si>
  <si>
    <t>d) Model Injection Centre</t>
  </si>
  <si>
    <t>e) ICMR</t>
  </si>
  <si>
    <t>f) Atlas [Cancer Project]</t>
  </si>
  <si>
    <t>a) Earmarked/Endow. Funds</t>
  </si>
  <si>
    <t>b) Own Funds (Oth. Investment)</t>
  </si>
  <si>
    <t>a) Miscellaneous</t>
  </si>
  <si>
    <t>b) Verbal Autopsy</t>
  </si>
  <si>
    <t>c) WHO</t>
  </si>
  <si>
    <t xml:space="preserve">     (1) Miscellaneous</t>
  </si>
  <si>
    <t xml:space="preserve">     (2) Verbal Autopsy</t>
  </si>
  <si>
    <t>d) Model Injection</t>
  </si>
  <si>
    <t xml:space="preserve">                      Advances to Staff :</t>
  </si>
  <si>
    <t>c) Interest on MCA</t>
  </si>
  <si>
    <t>d) Interest on HBA</t>
  </si>
  <si>
    <t>e) Interest on Computer</t>
  </si>
  <si>
    <t xml:space="preserve">             Student Security Deposits</t>
  </si>
  <si>
    <t xml:space="preserve">             Schlorship/ Stipend/ Books Grant</t>
  </si>
  <si>
    <t xml:space="preserve">             PG </t>
  </si>
  <si>
    <t xml:space="preserve">            Security Deposits</t>
  </si>
  <si>
    <t xml:space="preserve">            NEHU Fees</t>
  </si>
  <si>
    <t xml:space="preserve">e) Receipt of Security Deposits/ Liabilities : </t>
  </si>
  <si>
    <t>4.    VEHICLES</t>
  </si>
  <si>
    <t>SCHEDULES FORMING PART OF BALANCE SHEET AS AT 31.03.2010</t>
  </si>
  <si>
    <t xml:space="preserve">    5) Nursing Control Aids [Nagaland &amp; Manipur &amp; Tripura]</t>
  </si>
  <si>
    <t xml:space="preserve">    6) Guest House</t>
  </si>
  <si>
    <t xml:space="preserve">    8) Nursing College</t>
  </si>
  <si>
    <t xml:space="preserve">    9) Pharmacy</t>
  </si>
  <si>
    <t xml:space="preserve">    10) Hospital Charges Received</t>
  </si>
  <si>
    <t xml:space="preserve">    11) Library</t>
  </si>
  <si>
    <t xml:space="preserve">     xvii) GFATM Project  (A/C No : 30270100000830)</t>
  </si>
  <si>
    <t xml:space="preserve">     xvi) Library (A/c No : 2001730)</t>
  </si>
  <si>
    <t xml:space="preserve">     xiv) Hospital Charges (A/c No : 2001066)</t>
  </si>
  <si>
    <t xml:space="preserve">     xiii) Guest House (A/c No : 2001062)</t>
  </si>
  <si>
    <t xml:space="preserve">     xviii) Evaluation cum Impact Study-NEC </t>
  </si>
  <si>
    <t xml:space="preserve">     viii) Nursing College (A/c No : 10010)</t>
  </si>
  <si>
    <t>b) Imprest :</t>
  </si>
  <si>
    <t>III. Income on Investments from :</t>
  </si>
  <si>
    <t>IV. Interest Received :</t>
  </si>
  <si>
    <t xml:space="preserve">V.  Other Income :  </t>
  </si>
  <si>
    <t>VI. Amount Borrowed :</t>
  </si>
  <si>
    <t>c) Earnest Money Deposits :</t>
  </si>
  <si>
    <t xml:space="preserve">            Scholarship</t>
  </si>
  <si>
    <t>a) Establishment Expenses :</t>
  </si>
  <si>
    <t>b) Administrative Expenses :</t>
  </si>
  <si>
    <t>j)  Earnest Money Deposits :</t>
  </si>
  <si>
    <t xml:space="preserve">                     d) Project Advances:</t>
  </si>
  <si>
    <t xml:space="preserve">                          i)  DGHS    </t>
  </si>
  <si>
    <t xml:space="preserve">                          ii) Evaluation cum Impact Study-NEC</t>
  </si>
  <si>
    <t xml:space="preserve">                          iii) National Aids Control</t>
  </si>
  <si>
    <t xml:space="preserve">       i)  Consumables/Medicines </t>
  </si>
  <si>
    <t>SCHEDULE 19 - INCREASE/(DECREASE) IN STOCK OF FINISHED GOODS &amp; WORK IN PROGRESS</t>
  </si>
  <si>
    <t>NET INCREASE/(DECREASE) [a-b]</t>
  </si>
  <si>
    <t xml:space="preserve">                      Mr. M. Kiling</t>
  </si>
  <si>
    <t xml:space="preserve">                      Smt. N. Das, Principal Nursing</t>
  </si>
  <si>
    <t xml:space="preserve">        3)  Deposits :</t>
  </si>
  <si>
    <t xml:space="preserve">            ii) Mobile Telephone</t>
  </si>
  <si>
    <t xml:space="preserve">            iii) Me.S.E.B.</t>
  </si>
  <si>
    <t xml:space="preserve">            i) Telephone</t>
  </si>
  <si>
    <t xml:space="preserve">        4)  Income Accrued :</t>
  </si>
  <si>
    <t xml:space="preserve">              i)  On Investments from Earmarked/Endowment Funds</t>
  </si>
  <si>
    <t xml:space="preserve">              ii)  On investments-Others</t>
  </si>
  <si>
    <t xml:space="preserve">              iii)  On Loans and Advances</t>
  </si>
  <si>
    <t xml:space="preserve">              iv)  Others</t>
  </si>
  <si>
    <t xml:space="preserve">        5)  Claims Receivable :</t>
  </si>
  <si>
    <t xml:space="preserve">            value to be received :</t>
  </si>
  <si>
    <t xml:space="preserve"> 4) With Scheduled Banks :</t>
  </si>
  <si>
    <t>5) With non-Scheduled Banks :</t>
  </si>
  <si>
    <t>6) Post Office-Savings Accounts :</t>
  </si>
  <si>
    <t>8.    ELECTRIC INSTALLATIONS</t>
  </si>
  <si>
    <t>9.    LIBRARY BOOKS (Books &amp; Journals)</t>
  </si>
  <si>
    <t>10.  TUBEWELLS &amp; WATER SUPPLY</t>
  </si>
  <si>
    <t>11.   SPORTS EQUIPMENTS</t>
  </si>
  <si>
    <t xml:space="preserve">           a) Closing Stock</t>
  </si>
  <si>
    <t>A.  CURRENT LIABILITIES :</t>
  </si>
  <si>
    <t>B. PROVISIONS :</t>
  </si>
  <si>
    <t>Notes :</t>
  </si>
  <si>
    <t xml:space="preserve">         conditions attaching to the grants</t>
  </si>
  <si>
    <t>Additions during the Year</t>
  </si>
  <si>
    <t>ii. Medical Equipment [HSCC]</t>
  </si>
  <si>
    <t>(d) Boundry Wall</t>
  </si>
  <si>
    <t>Deletions during the Year</t>
  </si>
  <si>
    <t xml:space="preserve">       (k) Vehicle</t>
  </si>
  <si>
    <t>Transfer to/ from general Reserve</t>
  </si>
  <si>
    <t xml:space="preserve">              ii) Hiring of Services (Manpower)</t>
  </si>
  <si>
    <t xml:space="preserve">     Add: Contribution towards Corpus/Capital Fund</t>
  </si>
  <si>
    <t xml:space="preserve">  NORTH EASTERN INDIRA GANDHI REGIONAL INSTITUTE OF HEALTH AND MEDICAL SCIENCES : SHILLONG.</t>
  </si>
  <si>
    <t xml:space="preserve">                  b) Nursing College</t>
  </si>
  <si>
    <t xml:space="preserve">                  d) Out Patient at Hospital</t>
  </si>
  <si>
    <t xml:space="preserve">                  e) Hospital Charges (Security Deposit)</t>
  </si>
  <si>
    <t>e) Licence Fee(S)</t>
  </si>
  <si>
    <t>p) Radiology Deptt [Workshop]</t>
  </si>
  <si>
    <t>q) Workshop cum Head &amp; Neck Cancer</t>
  </si>
  <si>
    <t>Others:</t>
  </si>
  <si>
    <t xml:space="preserve">             Fees Collected to be Remitted</t>
  </si>
  <si>
    <t xml:space="preserve">     Evaluation cum Impact Study</t>
  </si>
  <si>
    <t>a) Cash in Hand:</t>
  </si>
  <si>
    <t>a) Recovery of Advances :</t>
  </si>
  <si>
    <t>r) Nursing College [Assam &amp; Tripura SACS]</t>
  </si>
  <si>
    <t xml:space="preserve">     Development Upgrading Infrastructure in MC</t>
  </si>
  <si>
    <t xml:space="preserve">     PMR in Medical College</t>
  </si>
  <si>
    <t xml:space="preserve"> A) Cash in Hand :</t>
  </si>
  <si>
    <t>s) Seminar &amp; Workshop</t>
  </si>
  <si>
    <t xml:space="preserve">      iv) Nursing College  :</t>
  </si>
  <si>
    <t>p) Seminars &amp; Workshop</t>
  </si>
  <si>
    <t xml:space="preserve">                            i) Dev Upgradation Infra in MC</t>
  </si>
  <si>
    <t xml:space="preserve">                            j) Evaluation cum Imapct Study</t>
  </si>
  <si>
    <t xml:space="preserve">                            k) PMR in Medical College</t>
  </si>
  <si>
    <t xml:space="preserve">                     g) Guest House :</t>
  </si>
  <si>
    <t xml:space="preserve">                      f) Nursing College Advances</t>
  </si>
  <si>
    <t xml:space="preserve">                      e) MBBS Advances</t>
  </si>
  <si>
    <t xml:space="preserve">                      Dr Rashna Dass</t>
  </si>
  <si>
    <t xml:space="preserve">                      Smt C E Myrthong</t>
  </si>
  <si>
    <t xml:space="preserve">                         Dr A C Phukan</t>
  </si>
  <si>
    <t>t) National Programme for Control of Blindness</t>
  </si>
  <si>
    <t>q) National Programme for Control of Blindness</t>
  </si>
  <si>
    <t xml:space="preserve">                 a) M/s HSCC, Civil Works</t>
  </si>
  <si>
    <t xml:space="preserve">                 b) M/s Philips Electronics</t>
  </si>
  <si>
    <t>Balance being excess of Income over Expenditure (A-B)</t>
  </si>
  <si>
    <t xml:space="preserve">                 the Income and Expenditure Account</t>
  </si>
  <si>
    <t>v) Main Civil Works</t>
  </si>
  <si>
    <t>vi) C &amp; D Quarters</t>
  </si>
  <si>
    <t>vii) Construction of Security Accomodation</t>
  </si>
  <si>
    <t xml:space="preserve">        (i) Office Equipment</t>
  </si>
  <si>
    <t>(l) GFARM</t>
  </si>
  <si>
    <t>(l) Grill Substation</t>
  </si>
  <si>
    <t>r) Nursing College [Assam-SACS &amp; Tripura]</t>
  </si>
  <si>
    <t xml:space="preserve">                      </t>
  </si>
  <si>
    <t xml:space="preserve">                        Euphoria</t>
  </si>
  <si>
    <t>Particulars</t>
  </si>
  <si>
    <t>Amount</t>
  </si>
  <si>
    <t>Depreciation</t>
  </si>
  <si>
    <t>Net Amount</t>
  </si>
  <si>
    <t>Civil Works [Project]</t>
  </si>
  <si>
    <t>Additional Civil Works in Blood Bank</t>
  </si>
  <si>
    <t>Approach Road, Main Gate</t>
  </si>
  <si>
    <t>Cardiology Ward for Installing Mobile-Cath Lab</t>
  </si>
  <si>
    <t>Civil Work for X Ray &amp; CT Scan</t>
  </si>
  <si>
    <t>Civil Work in Basic Sc Block - Group I</t>
  </si>
  <si>
    <t>Civil Work in Basic Sc Block - Group II</t>
  </si>
  <si>
    <t>Civil Work in Basic Sc Block - Group III</t>
  </si>
  <si>
    <t>Civil Work in C4 &amp; C5 Qtrs [MBBS Hostel]</t>
  </si>
  <si>
    <t>Civil Work in Obs &amp; Gynae OT</t>
  </si>
  <si>
    <t>Civil Work in Physiotherapy Room</t>
  </si>
  <si>
    <t>Civil Works at Blood Bank</t>
  </si>
  <si>
    <t>Civil Works at Paediatric</t>
  </si>
  <si>
    <t>Civil Works in Cardiology Ward/ICU</t>
  </si>
  <si>
    <t>Civil Works in Casualty Department</t>
  </si>
  <si>
    <t>Civil Works in Emergency OT</t>
  </si>
  <si>
    <t>Civil Works in the Library</t>
  </si>
  <si>
    <t>Civil Works of Electrical Work</t>
  </si>
  <si>
    <t>Civil Works of X Ray Room</t>
  </si>
  <si>
    <t>Civil Works [Epoxy Flooring in the Neonatal ICU]</t>
  </si>
  <si>
    <t>Collapsible Gate at Director's Block</t>
  </si>
  <si>
    <t>Construction at Pharmacy</t>
  </si>
  <si>
    <t>Construction of CC Footpath to Level - 1</t>
  </si>
  <si>
    <t>Construction of Children's Park</t>
  </si>
  <si>
    <t>Construction of Examination Hall</t>
  </si>
  <si>
    <t>Construction of Garbage Room</t>
  </si>
  <si>
    <t>Construction of Retaining Wall at Children's Park</t>
  </si>
  <si>
    <t>Construction of Stone Mosanary Wall etc</t>
  </si>
  <si>
    <t>Construction of Store Room at Director's Block</t>
  </si>
  <si>
    <t>Construction of Store Room for Pathology Deptt</t>
  </si>
  <si>
    <t>Construction of Store Rooms below the Auditorium</t>
  </si>
  <si>
    <t>Construction of Toilet at Director's Block</t>
  </si>
  <si>
    <t>Construction of UPS Room, CT Scan &amp; X Ray</t>
  </si>
  <si>
    <t>Counter of Security Box etc</t>
  </si>
  <si>
    <t>CTVS, OT &amp;  ICU</t>
  </si>
  <si>
    <t>Electrical Work in the Blook Bank Deptt</t>
  </si>
  <si>
    <t>Electrical Work for X Ray and CT Scan</t>
  </si>
  <si>
    <t>Electrical Works in CTVS OT</t>
  </si>
  <si>
    <t>Furnishing of OT Ceiling at 56.00 Lvl</t>
  </si>
  <si>
    <t>Misc Works in RMO Hostel</t>
  </si>
  <si>
    <t>M S Grill Partitions etc</t>
  </si>
  <si>
    <t>Providing Anodised Alluminium OPD etc</t>
  </si>
  <si>
    <t>Providing Shelves in Kitchen of Shoes Racks etc</t>
  </si>
  <si>
    <t>Providing Steel Work for Hanging &amp; Dying Cloths</t>
  </si>
  <si>
    <t>Provision for Alluminium [Reception]</t>
  </si>
  <si>
    <t>Provision for Sinks &amp; Basins</t>
  </si>
  <si>
    <t>Provision of Alluminium Composite &amp; Steel Lettering</t>
  </si>
  <si>
    <t>Provision of Alluminium Doors with Prelaminated</t>
  </si>
  <si>
    <t>Provision of Alluminium Rack Table etc</t>
  </si>
  <si>
    <t>Provision of Cash Counter in Director's Block</t>
  </si>
  <si>
    <t>Provision of CC Drain, Grill Interceptor's Main Gate</t>
  </si>
  <si>
    <t>Provision of Collapsible Gate</t>
  </si>
  <si>
    <t>Provision of Collapsible Gate &amp; Toilet in Store</t>
  </si>
  <si>
    <t>Provision of Cupboard in Pay Ward Block</t>
  </si>
  <si>
    <t>Provision of Curtain Rods</t>
  </si>
  <si>
    <t>Provision of Doors etc at Public Utility Block</t>
  </si>
  <si>
    <t>Provision of False Ceiling Painting &amp; Misc work</t>
  </si>
  <si>
    <t>Provision of Laboratory Table etc</t>
  </si>
  <si>
    <t>Provision of Sinks, Working Platform etc</t>
  </si>
  <si>
    <t>Provision of Steel Chimney &amp; Cooking Slab at Exam</t>
  </si>
  <si>
    <t>Provision of Alluminium Doors in Bio-chemistry Deptt</t>
  </si>
  <si>
    <t>Provision [Alluminium &amp; Prelam Board Partition etc]</t>
  </si>
  <si>
    <t>Provision [Anodized Alluminium Doors at Hospital]</t>
  </si>
  <si>
    <t>RCC &amp; CC Topping [Main Entrance]</t>
  </si>
  <si>
    <t>Retro Reflectorised Sign Board in Campus</t>
  </si>
  <si>
    <t>Sentry Box &amp; Drop Gates at STP &amp; Counter</t>
  </si>
  <si>
    <t>Steel Casement Fixed Window</t>
  </si>
  <si>
    <t>Supply &amp; Fitting of Cut Outs</t>
  </si>
  <si>
    <t>Alluminium Works in Obs &amp; Gynae Deptt</t>
  </si>
  <si>
    <t>Alluminium Works in the Cardiology Deptt</t>
  </si>
  <si>
    <t>Civil Works in Anesthesialogy Deptt</t>
  </si>
  <si>
    <t>Civil Works in Casualty Deptt</t>
  </si>
  <si>
    <t>Civil Works in Dialysis Unit</t>
  </si>
  <si>
    <t>Construction of Aduiometric Room</t>
  </si>
  <si>
    <t>Construction of Shed &amp; Waste Sharp Pit</t>
  </si>
  <si>
    <t>Construction of Pedestal for the Statue of (L) Indira</t>
  </si>
  <si>
    <t>Electrical Work in the CTVS/ICU</t>
  </si>
  <si>
    <t>Electrical Work in Pathology Deptt</t>
  </si>
  <si>
    <t>Lifting, Lowering, Flushing of 10 Bore Wells</t>
  </si>
  <si>
    <t>Providing Ornamental Grill in Library</t>
  </si>
  <si>
    <t>Provision of Alluminium Partition with Prelam Board</t>
  </si>
  <si>
    <t>Provision of Alluminium Partition with Prelaminated</t>
  </si>
  <si>
    <t>Provision of Alluminium with Pre Laminated Board</t>
  </si>
  <si>
    <t>Provision of Alluminium Frame Casulty &amp; Diagnostic</t>
  </si>
  <si>
    <t>Provision of Slabs, Cupboard in Microbiology Deptt</t>
  </si>
  <si>
    <t>Provision of Steel Frames for Table, Sink, Racus etc</t>
  </si>
  <si>
    <t>Statue of (L) Indira Gandhi</t>
  </si>
  <si>
    <t>Storage Area of Non-infectious Waste</t>
  </si>
  <si>
    <t>Supply &amp; Fitting of Notice Boards in the Campus</t>
  </si>
  <si>
    <t>Total [10%+5%]</t>
  </si>
  <si>
    <t>50 % of (10 %) [i.e 1.10.2010 to 31.03.2011]</t>
  </si>
  <si>
    <t>Tally</t>
  </si>
  <si>
    <t>Diff between Excel &amp; Tally</t>
  </si>
  <si>
    <t>Excel</t>
  </si>
  <si>
    <t>Amount to be Depreciated</t>
  </si>
  <si>
    <t xml:space="preserve">Total Amount to be Depreciated </t>
  </si>
  <si>
    <t>Amount to be Depreciated during the year</t>
  </si>
  <si>
    <t xml:space="preserve">Net Amount </t>
  </si>
  <si>
    <t xml:space="preserve">              b) Medical Equipment (HSCC)</t>
  </si>
  <si>
    <t>HSCC:</t>
  </si>
  <si>
    <t>m) HSCC:</t>
  </si>
  <si>
    <t xml:space="preserve">                 c)  Material testing charges due to HSCCIL</t>
  </si>
  <si>
    <t xml:space="preserve">                 d)  Recoveries from Staff</t>
  </si>
  <si>
    <t xml:space="preserve">                m) Miscellaneous</t>
  </si>
  <si>
    <t xml:space="preserve">    12) M/s HSCC</t>
  </si>
  <si>
    <t xml:space="preserve">   iii) M/s HSCC Capital-Work-in Progress</t>
  </si>
  <si>
    <t>Months</t>
  </si>
  <si>
    <t xml:space="preserve">2nd (31.03.2012) </t>
  </si>
  <si>
    <t>3rd (31.03.2013)</t>
  </si>
  <si>
    <t>4th (31.03.2014)</t>
  </si>
  <si>
    <t>1st (31.03.2011)</t>
  </si>
  <si>
    <t>5th (14.07.2014)</t>
  </si>
  <si>
    <t>Total</t>
  </si>
  <si>
    <t>Net Amount 31.03.2010</t>
  </si>
  <si>
    <t>Per Month</t>
  </si>
  <si>
    <t xml:space="preserve">                    iii) Dr. Alice A. Ruram, Assistant Professor</t>
  </si>
  <si>
    <t xml:space="preserve">                    ii) Dr. U.K. Bhadani</t>
  </si>
  <si>
    <t xml:space="preserve">                                  Medical Equipments</t>
  </si>
  <si>
    <t xml:space="preserve">                     v) Contractors for Civil Works </t>
  </si>
  <si>
    <t>b) Bank Balances :</t>
  </si>
  <si>
    <t>IX.   Referral Patient [Outside Patient in Hospital] :</t>
  </si>
  <si>
    <t>IV.   Referral Patient [Outside Patient in Hospital] :</t>
  </si>
  <si>
    <t xml:space="preserve">n) Rashtriya Arogya Nidhi Scheme </t>
  </si>
  <si>
    <t xml:space="preserve">       f)  Boundary Wall</t>
  </si>
  <si>
    <t xml:space="preserve">                      Euphoria's [Socio Cultural Activities for Students]</t>
  </si>
  <si>
    <t xml:space="preserve">     ii)  Pharmacy</t>
  </si>
  <si>
    <t xml:space="preserve">     v)  GFATM</t>
  </si>
  <si>
    <t xml:space="preserve">     i)   Guest House</t>
  </si>
  <si>
    <t xml:space="preserve">     vii)  Atlas Project BoB-PB (A/c No : 0020200000274 )</t>
  </si>
  <si>
    <t xml:space="preserve">     vi)   In Current Accounts (MawDD Branch)  (A/c No : 1001)</t>
  </si>
  <si>
    <t xml:space="preserve">     v)    ICMR/MIC [BoB-MDD] (A/c No : 1008)</t>
  </si>
  <si>
    <t xml:space="preserve">     iv)   FD Nursing College BoB, Police Bazar</t>
  </si>
  <si>
    <t xml:space="preserve">     iii)   Savings Accounts</t>
  </si>
  <si>
    <t xml:space="preserve">     ii)    In Deposit Accounts </t>
  </si>
  <si>
    <t xml:space="preserve">     i)     In Current Accounts (P B Branch)</t>
  </si>
  <si>
    <t xml:space="preserve">     ix)   Referral Patient [Outside Patient, A/c No : 10024 ]</t>
  </si>
  <si>
    <t xml:space="preserve">     x)    National Aids Control [NACO A/c No : 10019]</t>
  </si>
  <si>
    <t xml:space="preserve">     xii)  Janani Suraksha Yojana (A/c No : 10018)</t>
  </si>
  <si>
    <t xml:space="preserve">     xv)  Pharmacy (A/c No : 2001490)</t>
  </si>
  <si>
    <t xml:space="preserve">     xix)   PMR Medical College(A/c No :  02408)</t>
  </si>
  <si>
    <t xml:space="preserve">     xx)    Rashtriya Arogya Nidhi Scheme (A/C No : 10017)</t>
  </si>
  <si>
    <t xml:space="preserve">     xxi)   DGHS ( A/c No : 10023 )</t>
  </si>
  <si>
    <t xml:space="preserve">     xxii)  Development Upgrading Infrastructure in MC </t>
  </si>
  <si>
    <t xml:space="preserve">     xxiii) Seminar/Workshop (A/C No. 30270200000029)</t>
  </si>
  <si>
    <t xml:space="preserve">     xxiv) Security Deposits/EMD  (A/C No. 30270200000027)</t>
  </si>
  <si>
    <t xml:space="preserve">             ( A/c No : 30270100002388 )</t>
  </si>
  <si>
    <t xml:space="preserve">             ( A/c No : 3027010000002391 )</t>
  </si>
  <si>
    <t xml:space="preserve">             a) Cheque in Transit</t>
  </si>
  <si>
    <t xml:space="preserve">     xxv) National Programme for Control of Blindness (A/C No. 30270200000032)</t>
  </si>
  <si>
    <t xml:space="preserve">   iv) Misc </t>
  </si>
  <si>
    <t xml:space="preserve">   vi) Civil Works</t>
  </si>
  <si>
    <t xml:space="preserve">    i)  M/s HSCC</t>
  </si>
  <si>
    <t xml:space="preserve">   ii)  Capital Work-In-Progress</t>
  </si>
  <si>
    <t xml:space="preserve">  x)    Seminar &amp; Workshops</t>
  </si>
  <si>
    <t xml:space="preserve">  vi)   NEC Scheme</t>
  </si>
  <si>
    <t xml:space="preserve">      i)   Retention Money</t>
  </si>
  <si>
    <t xml:space="preserve">      ii)  Dr. A. C. Bhuyan, Org Chairman</t>
  </si>
  <si>
    <t xml:space="preserve">      v) MBBS/ PG  :</t>
  </si>
  <si>
    <t xml:space="preserve">      vi)  Hospital Charges </t>
  </si>
  <si>
    <t xml:space="preserve">    xviii) M/s Dyna Hitech Power System</t>
  </si>
  <si>
    <t xml:space="preserve">    xix)   Adv AIIMS, New Delhi</t>
  </si>
  <si>
    <t xml:space="preserve">    xx)    Adv Verbal Autopsy</t>
  </si>
  <si>
    <t xml:space="preserve">    xxi)   M/s Philips Electronics</t>
  </si>
  <si>
    <t xml:space="preserve">    xvii)  Relief</t>
  </si>
  <si>
    <t xml:space="preserve">    xvi)   Adv GPF</t>
  </si>
  <si>
    <t xml:space="preserve">    xv)   MBBS-  Misc.Advance ( Dr.Rashna Dass) </t>
  </si>
  <si>
    <t xml:space="preserve">    xiv)   Evaluation cum Impact Study-NEC (Dr.P.Bhattacharya, Dean) </t>
  </si>
  <si>
    <t xml:space="preserve">    xiii)  Guest House</t>
  </si>
  <si>
    <t xml:space="preserve">    xii)   Postage</t>
  </si>
  <si>
    <t xml:space="preserve">    xi)    Nursing</t>
  </si>
  <si>
    <t xml:space="preserve">    x)     Seminars</t>
  </si>
  <si>
    <t xml:space="preserve">    ix)    MCA (Staff)</t>
  </si>
  <si>
    <t xml:space="preserve">    viii)  HBA</t>
  </si>
  <si>
    <t xml:space="preserve">    vii)   Festival Advance</t>
  </si>
  <si>
    <t xml:space="preserve">    vi)    Computer</t>
  </si>
  <si>
    <t xml:space="preserve">    v)     Misc</t>
  </si>
  <si>
    <t xml:space="preserve">    iv)    Medical</t>
  </si>
  <si>
    <t xml:space="preserve">    iii)    TA</t>
  </si>
  <si>
    <t xml:space="preserve">    ii)     Meeting</t>
  </si>
  <si>
    <t xml:space="preserve">    i)      LTC</t>
  </si>
  <si>
    <t xml:space="preserve">   vii)    HBA (Lien)</t>
  </si>
  <si>
    <t xml:space="preserve">   vi)    GLIS</t>
  </si>
  <si>
    <t xml:space="preserve">   v)     GPF (Instt)</t>
  </si>
  <si>
    <t xml:space="preserve">   iv)    GPF (Lien)</t>
  </si>
  <si>
    <t xml:space="preserve">   iii)    GI/GSLIS/CGEHS</t>
  </si>
  <si>
    <t xml:space="preserve">   ii)     Festival (Lien)</t>
  </si>
  <si>
    <t xml:space="preserve">   i)      Child Education [P/R-Lien]</t>
  </si>
  <si>
    <t xml:space="preserve">    i)  Salary &amp; Wages</t>
  </si>
  <si>
    <t xml:space="preserve">    ii)  Honorarium</t>
  </si>
  <si>
    <t xml:space="preserve">    v)  Hiring of Services [Man Power]</t>
  </si>
  <si>
    <t xml:space="preserve">     xxvii)  Maintenance/Running of Sub Station</t>
  </si>
  <si>
    <t xml:space="preserve">     xxxi)   College of Nursing</t>
  </si>
  <si>
    <t xml:space="preserve">     xxxii)  Overtime Allowances</t>
  </si>
  <si>
    <t xml:space="preserve">     xxix)   Printing &amp; Publication</t>
  </si>
  <si>
    <t xml:space="preserve">     xxx)    Dietary Services</t>
  </si>
  <si>
    <t xml:space="preserve">     xxv)    Teaching &amp; Learning Materials</t>
  </si>
  <si>
    <t xml:space="preserve">     xxii)    Cadavers Expenses</t>
  </si>
  <si>
    <t xml:space="preserve">     xviii)   Sitting Fees</t>
  </si>
  <si>
    <t xml:space="preserve">     xvii)    Inspection Fee</t>
  </si>
  <si>
    <t xml:space="preserve">     xvi)     Uniform</t>
  </si>
  <si>
    <t xml:space="preserve">     xv)      Crockeries/Utensils</t>
  </si>
  <si>
    <t xml:space="preserve">     xiv)     News Paper Charges</t>
  </si>
  <si>
    <t xml:space="preserve">     xiii)     Vehicle Hiring Charges</t>
  </si>
  <si>
    <t xml:space="preserve">     xii)      Furnishing</t>
  </si>
  <si>
    <t xml:space="preserve">     xi)       POL</t>
  </si>
  <si>
    <t xml:space="preserve">     x)        Postage &amp; Stamps</t>
  </si>
  <si>
    <t xml:space="preserve">     ix)       Electrical Items</t>
  </si>
  <si>
    <t xml:space="preserve">     viii)     Advertisement</t>
  </si>
  <si>
    <t xml:space="preserve">     vi)      Medical Expenses</t>
  </si>
  <si>
    <t xml:space="preserve">     v)       Miscellaneous</t>
  </si>
  <si>
    <t xml:space="preserve">     iv)      Stationery</t>
  </si>
  <si>
    <t xml:space="preserve">     iii)      Telephone Charges</t>
  </si>
  <si>
    <t xml:space="preserve">     ii)       Electricity </t>
  </si>
  <si>
    <t xml:space="preserve">     i)        LTC</t>
  </si>
  <si>
    <t xml:space="preserve">      ix)  Main Building</t>
  </si>
  <si>
    <t xml:space="preserve">      x)   AMC/CMC</t>
  </si>
  <si>
    <t xml:space="preserve">     vii)  IHF</t>
  </si>
  <si>
    <t xml:space="preserve">     vi)   Vehicle</t>
  </si>
  <si>
    <t xml:space="preserve">     v)    Equipment</t>
  </si>
  <si>
    <t xml:space="preserve">     iv)   Others</t>
  </si>
  <si>
    <t xml:space="preserve">     iii)   Medical</t>
  </si>
  <si>
    <t xml:space="preserve">     ii)    Hospital</t>
  </si>
  <si>
    <t xml:space="preserve">     i)     Office</t>
  </si>
  <si>
    <t xml:space="preserve">      viii) Purchase of Vehicle</t>
  </si>
  <si>
    <t xml:space="preserve">      ix)   Medical Equipment</t>
  </si>
  <si>
    <t xml:space="preserve">      x)    Furniture &amp; Fixtures (MBBS)</t>
  </si>
  <si>
    <t xml:space="preserve">      xi)   Fixed Assets (GFATM Project)</t>
  </si>
  <si>
    <t xml:space="preserve">      vii)  Tubewell &amp; Water Supply</t>
  </si>
  <si>
    <t xml:space="preserve">      vi)   Sports Equipments</t>
  </si>
  <si>
    <t xml:space="preserve">      v)    Office Equipment</t>
  </si>
  <si>
    <t xml:space="preserve">      iv)   Furniture &amp; Fixtures</t>
  </si>
  <si>
    <t xml:space="preserve">      iii)   Electrical Installation</t>
  </si>
  <si>
    <t xml:space="preserve">      ii)    Computer/Peripherals</t>
  </si>
  <si>
    <t xml:space="preserve">     iii)    TA</t>
  </si>
  <si>
    <t xml:space="preserve">     xvi)  Guest House</t>
  </si>
  <si>
    <t xml:space="preserve">     xv)   Inspection Fees</t>
  </si>
  <si>
    <t xml:space="preserve">     xiv)  Immediate Releif</t>
  </si>
  <si>
    <t xml:space="preserve">     xiii)  Postage</t>
  </si>
  <si>
    <t xml:space="preserve">     xii)   Nursing</t>
  </si>
  <si>
    <t xml:space="preserve">     xi)    Seminars</t>
  </si>
  <si>
    <t xml:space="preserve">     x)     MCA (Staff)</t>
  </si>
  <si>
    <t xml:space="preserve">     ix)    HBA</t>
  </si>
  <si>
    <t xml:space="preserve">     viii)  Festival Advance</t>
  </si>
  <si>
    <t xml:space="preserve">     vii)   Computer</t>
  </si>
  <si>
    <t xml:space="preserve">     vi)    Verbal Autopsy</t>
  </si>
  <si>
    <t xml:space="preserve">     v)     Misc</t>
  </si>
  <si>
    <t xml:space="preserve">     iv)    Medical</t>
  </si>
  <si>
    <t xml:space="preserve">     ii)     Meeting</t>
  </si>
  <si>
    <t xml:space="preserve">     i)      LTC</t>
  </si>
  <si>
    <t xml:space="preserve">    viii)   GLIS</t>
  </si>
  <si>
    <t xml:space="preserve">    vii)    GPF (Instt)</t>
  </si>
  <si>
    <t xml:space="preserve">    vi)     NEMCOS ( P/R -Staff )</t>
  </si>
  <si>
    <t xml:space="preserve">    iv)     GPF (Lien)</t>
  </si>
  <si>
    <t xml:space="preserve">    iii)     GI/GSLIS/CGEHS</t>
  </si>
  <si>
    <t xml:space="preserve">    ii)      Festival (Lien)</t>
  </si>
  <si>
    <t xml:space="preserve">    i)       Child Education [P/R-Lien]</t>
  </si>
  <si>
    <t xml:space="preserve">     xxviii) POL</t>
  </si>
  <si>
    <t xml:space="preserve">     xxx)    AMC/CMC</t>
  </si>
  <si>
    <t xml:space="preserve">     xxvii)  Misc</t>
  </si>
  <si>
    <t xml:space="preserve">     xxiii)   Recoveries from Staff</t>
  </si>
  <si>
    <t xml:space="preserve">     xxii)    Repair &amp; Maintenance</t>
  </si>
  <si>
    <t xml:space="preserve">     xxi)     Pension</t>
  </si>
  <si>
    <t xml:space="preserve">     xx)      Advertisement &amp; Publicity</t>
  </si>
  <si>
    <t xml:space="preserve">     xix)     Electricals Items</t>
  </si>
  <si>
    <t xml:space="preserve">     xviii)   Office Equipment</t>
  </si>
  <si>
    <t xml:space="preserve">     xvii)    Vehicle Hiring Charges</t>
  </si>
  <si>
    <t xml:space="preserve">     xvi)     Security Charges</t>
  </si>
  <si>
    <t xml:space="preserve">     xiv)     Telephone Charges</t>
  </si>
  <si>
    <t xml:space="preserve">     xiii)     Printing &amp; Stationery</t>
  </si>
  <si>
    <t xml:space="preserve">     xii)      Office Maintenance</t>
  </si>
  <si>
    <t xml:space="preserve">     x)       Medical Equipments</t>
  </si>
  <si>
    <t xml:space="preserve">     ix)      Manning Sub - Station</t>
  </si>
  <si>
    <t xml:space="preserve">     viii)    Hirirng of Service [Man Power]</t>
  </si>
  <si>
    <t xml:space="preserve">     vii)     Furnishing</t>
  </si>
  <si>
    <t xml:space="preserve">     vi)      Electric Charges</t>
  </si>
  <si>
    <t xml:space="preserve">     iv)      Computer &amp; Peripherals</t>
  </si>
  <si>
    <t xml:space="preserve">     iii)      Books &amp; Journals </t>
  </si>
  <si>
    <t xml:space="preserve">     ii)       Audit Fees</t>
  </si>
  <si>
    <t xml:space="preserve">     i)       Salary &amp; Wages</t>
  </si>
  <si>
    <t xml:space="preserve">         iv) Released of EMD</t>
  </si>
  <si>
    <t xml:space="preserve">         v)  Minor Civil Works</t>
  </si>
  <si>
    <t xml:space="preserve">         ii)  Security Deposit/Retention Money</t>
  </si>
  <si>
    <t xml:space="preserve">         i)   Permanent Campus</t>
  </si>
  <si>
    <t xml:space="preserve">    iii) Civil Works </t>
  </si>
  <si>
    <t xml:space="preserve">    iv) Medical Equipment</t>
  </si>
  <si>
    <t xml:space="preserve">    ii)  LD recovered</t>
  </si>
  <si>
    <t xml:space="preserve">    i)   M/s HSCC</t>
  </si>
  <si>
    <t xml:space="preserve">     ii) Refreshment Expenses</t>
  </si>
  <si>
    <t xml:space="preserve">     i)  Maintenance Expenses</t>
  </si>
  <si>
    <t xml:space="preserve">      viii) Expenses</t>
  </si>
  <si>
    <t xml:space="preserve">      vii)  Miscellaneous</t>
  </si>
  <si>
    <t xml:space="preserve">      vi)   Remuneration</t>
  </si>
  <si>
    <t xml:space="preserve">      v)    Registration Fees</t>
  </si>
  <si>
    <t xml:space="preserve">      iv)   Refreshment Expenses</t>
  </si>
  <si>
    <t xml:space="preserve">      iii)   Examination Fees</t>
  </si>
  <si>
    <t xml:space="preserve">      ii)    Entrance Exams</t>
  </si>
  <si>
    <t xml:space="preserve">      i)     Annual Enrollment Fees</t>
  </si>
  <si>
    <t xml:space="preserve">      i)  Bank Charges</t>
  </si>
  <si>
    <t xml:space="preserve">      ii) Other Expenses</t>
  </si>
  <si>
    <t xml:space="preserve">     i)   Security Deposits</t>
  </si>
  <si>
    <t xml:space="preserve">     ii)  Scholarship</t>
  </si>
  <si>
    <t xml:space="preserve">     iii) NEHU Fees</t>
  </si>
  <si>
    <t xml:space="preserve">     Refund of Security Deposit to Patients</t>
  </si>
  <si>
    <t xml:space="preserve">     i)   MBBS Security Deposit Refund</t>
  </si>
  <si>
    <t xml:space="preserve">     ii)  Schlorship/ Stipend/ Books Grant</t>
  </si>
  <si>
    <t xml:space="preserve">     iii) PG ( Security Deposits)</t>
  </si>
  <si>
    <t xml:space="preserve">     iv) Fees Collected Remitted to NEHU</t>
  </si>
  <si>
    <t xml:space="preserve">    vi)    National Control Aids</t>
  </si>
  <si>
    <t xml:space="preserve">    v)     Janani Suraksha Yojana Expenses</t>
  </si>
  <si>
    <t xml:space="preserve">    iv)    Atlas [Cancer Project] Expenses</t>
  </si>
  <si>
    <t xml:space="preserve">    iii)    Verbal Autopsy</t>
  </si>
  <si>
    <t xml:space="preserve">    i)     ICMR Project Expenses</t>
  </si>
  <si>
    <t xml:space="preserve">    ii)    Model Injection Centre Expenses</t>
  </si>
  <si>
    <t xml:space="preserve">    viii) Evaluation cum Impact Study-NEC </t>
  </si>
  <si>
    <t xml:space="preserve">    ix)   Nursing Adv [Assam &amp; Tripura SACS]</t>
  </si>
  <si>
    <t xml:space="preserve">    x)    Seminar &amp; Workshops</t>
  </si>
  <si>
    <t xml:space="preserve">    vii)  DGHS Advance</t>
  </si>
  <si>
    <t xml:space="preserve">    v)    NEC Scheme Advance </t>
  </si>
  <si>
    <t xml:space="preserve">    iv)   Advance to DBT Workshop</t>
  </si>
  <si>
    <t xml:space="preserve">    iii)   Advance MIC </t>
  </si>
  <si>
    <t xml:space="preserve">    ii)    Advance JSY </t>
  </si>
  <si>
    <t xml:space="preserve">    i)     Adv  Project Nursing</t>
  </si>
  <si>
    <t xml:space="preserve">     xvi)   Library (A/c No : 2001730)</t>
  </si>
  <si>
    <t xml:space="preserve">     xiii)   Guest House (A/c No : 2001062)</t>
  </si>
  <si>
    <t xml:space="preserve">     xii)    Janani Suraksha Yojana (A/c No : 10018)</t>
  </si>
  <si>
    <t xml:space="preserve">     x)      National Aids Control  [NACO A/c No : 10019]</t>
  </si>
  <si>
    <t xml:space="preserve">     ix)     Referral Patient [Outside Patient, A/c No : 10024]</t>
  </si>
  <si>
    <t xml:space="preserve">     viii)   Nursing College (A/c No : 10010)</t>
  </si>
  <si>
    <t xml:space="preserve">     vii)    Atlas Project BoB-PB (A/c No : 0020200000274 )</t>
  </si>
  <si>
    <t xml:space="preserve">     vi)    In Current Accounts (MawDD Branch)  (A/c No : 1001)</t>
  </si>
  <si>
    <t xml:space="preserve">     v)     ICMR/MIC [BoB-MDD] (A/c No : 1008)</t>
  </si>
  <si>
    <t xml:space="preserve">     iv)    FD Nursing College BoB, Police Bazar</t>
  </si>
  <si>
    <t xml:space="preserve">     iii)    Savings Accounts</t>
  </si>
  <si>
    <t xml:space="preserve">     ii)     In Deposit Accounts </t>
  </si>
  <si>
    <t xml:space="preserve">     i)      In Current Accounts (P B Branch)</t>
  </si>
  <si>
    <t>31.03.2014</t>
  </si>
  <si>
    <t xml:space="preserve">     vi) Imprest</t>
  </si>
  <si>
    <t>f) Interest on Penalty</t>
  </si>
  <si>
    <t xml:space="preserve">     vii)      TA/DA</t>
  </si>
  <si>
    <t xml:space="preserve">     xxxii)  Dietary Services</t>
  </si>
  <si>
    <t xml:space="preserve">   xi)   JRD [Security Deposits]</t>
  </si>
  <si>
    <t xml:space="preserve">   x)     Lic Fees (L)</t>
  </si>
  <si>
    <t xml:space="preserve">   xi)      LIC (Lien)</t>
  </si>
  <si>
    <t xml:space="preserve">   xii)     LIC (Staffs)   </t>
  </si>
  <si>
    <t xml:space="preserve">   xiii)    MCA (Lien)</t>
  </si>
  <si>
    <t xml:space="preserve">   xiv)   MPSS [P/R-Lien]</t>
  </si>
  <si>
    <t xml:space="preserve">   xv)   New Pension Scheme</t>
  </si>
  <si>
    <t xml:space="preserve">   xvi)    Professional Tax</t>
  </si>
  <si>
    <t xml:space="preserve">   xvii)   Income Tax</t>
  </si>
  <si>
    <t xml:space="preserve">   xviii)  Computer (Lien)</t>
  </si>
  <si>
    <t xml:space="preserve">   xix) Welfare Fund [P/R-Lien]</t>
  </si>
  <si>
    <t xml:space="preserve">   xx)   PMBRF [Staffs]</t>
  </si>
  <si>
    <t xml:space="preserve">   xxiii)  NEMCOS ( P/R -Staff )</t>
  </si>
  <si>
    <t xml:space="preserve">   xxiv) Immediate Relief</t>
  </si>
  <si>
    <t xml:space="preserve">   xxi)    NSA Staff </t>
  </si>
  <si>
    <t xml:space="preserve">k) Receipt of Security Deposits/ Liabilities : </t>
  </si>
  <si>
    <t xml:space="preserve">                    iv) Dr. A.S. Singh, Dean</t>
  </si>
  <si>
    <t xml:space="preserve">                    i) Ms W Dkhar, Librarian</t>
  </si>
  <si>
    <t xml:space="preserve">    xxiii)  CMC/AMC Adv </t>
  </si>
  <si>
    <t>In-Charge Ancillary Store:</t>
  </si>
  <si>
    <t>Head of Accounts</t>
  </si>
  <si>
    <t>Office Furniture</t>
  </si>
  <si>
    <t>Office Equipments</t>
  </si>
  <si>
    <t>Hospital Furniture</t>
  </si>
  <si>
    <t>Ouarter Furniture</t>
  </si>
  <si>
    <t>Students Furniture</t>
  </si>
  <si>
    <t>Electrical Fittings &amp; Appliances</t>
  </si>
  <si>
    <t>Utensils Crockery Etc</t>
  </si>
  <si>
    <t>Plumbing Items</t>
  </si>
  <si>
    <t>Carpentry</t>
  </si>
  <si>
    <t>In-Charges Medicine Store:</t>
  </si>
  <si>
    <t>Hospital Pharmacy Medicines</t>
  </si>
  <si>
    <t>Hospital PharmacyCath Lab, Radiology Stores &amp; Dialysis</t>
  </si>
  <si>
    <t>Hospital Medicines Stores</t>
  </si>
  <si>
    <t>Hospital Disposable Stores</t>
  </si>
  <si>
    <t>Hospital Reagents Stores</t>
  </si>
  <si>
    <t>Hospital Surgical Instruments Stores</t>
  </si>
  <si>
    <t>Hospital Surgicals &amp; Disinfectants Stores</t>
  </si>
  <si>
    <t>Hospital Sutures Stores</t>
  </si>
  <si>
    <t>Stationeries</t>
  </si>
  <si>
    <t>Hospital Consumables</t>
  </si>
  <si>
    <t>Hospital Linens</t>
  </si>
  <si>
    <t>Printings</t>
  </si>
  <si>
    <t>Sanitary &amp; General Consumables</t>
  </si>
  <si>
    <t>Sub Total:</t>
  </si>
  <si>
    <t>Grant Total:</t>
  </si>
  <si>
    <r>
      <t xml:space="preserve">Amount </t>
    </r>
    <r>
      <rPr>
        <b/>
        <sz val="15"/>
        <color theme="1"/>
        <rFont val="Rupee Foradian"/>
        <family val="2"/>
      </rPr>
      <t>`</t>
    </r>
  </si>
  <si>
    <t xml:space="preserve">      xii)   Medical Equipment- Project</t>
  </si>
  <si>
    <t xml:space="preserve">         i) Officer/Staff Benefits :</t>
  </si>
  <si>
    <t xml:space="preserve">      iii) Officer/Staff Benefits :</t>
  </si>
  <si>
    <t xml:space="preserve">         ii) Seminar &amp; Workshops</t>
  </si>
  <si>
    <t xml:space="preserve">  i)     MIC </t>
  </si>
  <si>
    <t xml:space="preserve">  ii)     Nursing</t>
  </si>
  <si>
    <t xml:space="preserve">  iii)    DBT Workshop</t>
  </si>
  <si>
    <t xml:space="preserve">  vii)  National Control Aids</t>
  </si>
  <si>
    <t xml:space="preserve">  viii) Evaluation cum Impact Study</t>
  </si>
  <si>
    <t xml:space="preserve">  ix)   JSY</t>
  </si>
  <si>
    <t xml:space="preserve">  xi)   DGHS</t>
  </si>
  <si>
    <t xml:space="preserve">                         Dr Brian Shunyu</t>
  </si>
  <si>
    <t>PMR- Development</t>
  </si>
  <si>
    <t xml:space="preserve">Blindness Control </t>
  </si>
  <si>
    <t xml:space="preserve">      ix) Bank Charges</t>
  </si>
  <si>
    <t xml:space="preserve">     Less: Balance of expenses of last year </t>
  </si>
  <si>
    <t xml:space="preserve">                     h) Seminars &amp; Workshops :</t>
  </si>
  <si>
    <t xml:space="preserve">     xi)     MBBS/ PG (A/c No : 10015)</t>
  </si>
  <si>
    <t xml:space="preserve">     xi)   MBBS/PG (A/c No : 10015)</t>
  </si>
  <si>
    <t xml:space="preserve">  v)   Verbal Autopsy</t>
  </si>
  <si>
    <t xml:space="preserve">    xi)   MBBS/PG  </t>
  </si>
  <si>
    <t xml:space="preserve">    7) MBBS/PG</t>
  </si>
  <si>
    <t xml:space="preserve">                  a) MBBS/PG</t>
  </si>
  <si>
    <t xml:space="preserve">                        Dr Star Pala, Asst Prof</t>
  </si>
  <si>
    <t>iii. Medical Equipment- Projects</t>
  </si>
  <si>
    <t>Prior Period Depreciation</t>
  </si>
  <si>
    <t>Contd: page 16</t>
  </si>
  <si>
    <t xml:space="preserve">  iv)   DGHS</t>
  </si>
  <si>
    <t xml:space="preserve">     Add : Balance of net income transferred from</t>
  </si>
  <si>
    <t>Contd: page 6</t>
  </si>
  <si>
    <t>Contd: page 5</t>
  </si>
  <si>
    <t>Contd: page 8</t>
  </si>
  <si>
    <t>Contd: page 24</t>
  </si>
  <si>
    <t>100% [10 %] [i.e. 1.4.11 -30.09.2011]</t>
  </si>
  <si>
    <t>Civil Works in Animal House</t>
  </si>
  <si>
    <t>Civil works in Casualty Department</t>
  </si>
  <si>
    <t>Civil Works in Payward Block</t>
  </si>
  <si>
    <t>Construction of footpath from RMO Hostel</t>
  </si>
  <si>
    <t>Construction of Pedestal Flag Pole in the Campus</t>
  </si>
  <si>
    <t>Construction of Pump House &amp; Fencing at STP</t>
  </si>
  <si>
    <t>Constructon of Retaining Wall Near Bore Well</t>
  </si>
  <si>
    <t>Construction of Storage Tank for Cadavar Etc</t>
  </si>
  <si>
    <t>Providing Fitting &amp; Fixing Alluminium Doors in Hosp</t>
  </si>
  <si>
    <t>Providing Fitting &amp; Fixing of 4 Alluminium Doors</t>
  </si>
  <si>
    <t>Providing Fitting &amp; Fixing of Sinks, Etc in Hosp</t>
  </si>
  <si>
    <t>Providing Seminar Room with Alumunium Cubicals</t>
  </si>
  <si>
    <t>Providing Wash Basin Fibre Glass Man Hole Slab Etc</t>
  </si>
  <si>
    <t>Providing of Slabs, Partition Etc Dept Micro</t>
  </si>
  <si>
    <t>Prov of Slab, Partition &amp; Cupboard in Micro Deptt</t>
  </si>
  <si>
    <t>Supply &amp; Fitting of Stell Signboard with Angle Post</t>
  </si>
  <si>
    <t xml:space="preserve">     xix)     Medicines/Consumables</t>
  </si>
  <si>
    <t xml:space="preserve">  xii)   MBBS/PG</t>
  </si>
  <si>
    <t>[J.K. Sarma]                                                                                                                                                                                              I/c Financial Adviser                                                                                                                                                                        NEIGRIHMS</t>
  </si>
  <si>
    <t>[J.K. Sarma]                                                                                                                                   I/c Financial Adviser                                                                                                                      NEIGRIHMS</t>
  </si>
  <si>
    <t>[J.K. Sarma]                                                                                                                  I/c Financial Adviser                                                                                     NEIGRIHMS</t>
  </si>
  <si>
    <t>Page 1 of 43</t>
  </si>
  <si>
    <t>Page 2 of 43</t>
  </si>
  <si>
    <t>Page 4 of 43</t>
  </si>
  <si>
    <t>Page 5 of 43</t>
  </si>
  <si>
    <t>Page 6 of 43</t>
  </si>
  <si>
    <t>Page 7 of 43</t>
  </si>
  <si>
    <t>Page 8 of 43</t>
  </si>
  <si>
    <t>Page 9 of 43</t>
  </si>
  <si>
    <t>Page 10 of 43</t>
  </si>
  <si>
    <t>Page 11 of 43</t>
  </si>
  <si>
    <t>Page 12 of 43</t>
  </si>
  <si>
    <t>Page 13 of 43</t>
  </si>
  <si>
    <t>Page 15 of 43</t>
  </si>
  <si>
    <t>Page 17 of 43</t>
  </si>
  <si>
    <t>Page 18 of 43</t>
  </si>
  <si>
    <t>Page 19 of 43</t>
  </si>
  <si>
    <t>Page 20 of 43</t>
  </si>
  <si>
    <t>Page 21 of 43</t>
  </si>
  <si>
    <t>Page 22 of 43</t>
  </si>
  <si>
    <t>Page 23 of 43</t>
  </si>
  <si>
    <t>Page 24 of 43</t>
  </si>
  <si>
    <t>Page 25 of 43</t>
  </si>
  <si>
    <t>Page 26 of 43</t>
  </si>
  <si>
    <t>Page 27 of 43</t>
  </si>
  <si>
    <t>Page 28 of 43</t>
  </si>
  <si>
    <t>Page 29 of 43</t>
  </si>
  <si>
    <t>Page 30 of 43</t>
  </si>
  <si>
    <t>Page 31 of 43</t>
  </si>
  <si>
    <t>Contd: page 30</t>
  </si>
  <si>
    <t xml:space="preserve">     xxviii) MBBS/PG Expenses</t>
  </si>
  <si>
    <t xml:space="preserve">     xx)      Conveyance Allowance</t>
  </si>
  <si>
    <t xml:space="preserve">     xxi)     Annual Day Celebration</t>
  </si>
  <si>
    <t xml:space="preserve">     xxvi)   Book/Thesis</t>
  </si>
  <si>
    <t xml:space="preserve">     xxiv)   Children Education Allowances</t>
  </si>
  <si>
    <t xml:space="preserve">     xxiii)   General Maintenance</t>
  </si>
  <si>
    <t xml:space="preserve">     xi)       Children Education Allowance</t>
  </si>
  <si>
    <t xml:space="preserve">     v)       Medicines &amp; Reagents</t>
  </si>
  <si>
    <t xml:space="preserve">     xxiv)   Crockiries/Utensils</t>
  </si>
  <si>
    <t xml:space="preserve">     xxvi)   General Maintenance</t>
  </si>
  <si>
    <t xml:space="preserve">     xxix)   Learning Resource Allowance</t>
  </si>
  <si>
    <t xml:space="preserve">     xxxi)   Medical Expenses</t>
  </si>
  <si>
    <t xml:space="preserve">     xxv)    New Pension Scheme</t>
  </si>
  <si>
    <t xml:space="preserve">     xv)      TA/DA Expenses</t>
  </si>
  <si>
    <t xml:space="preserve">   xxii)   Recovery from Staff (Others)</t>
  </si>
  <si>
    <t xml:space="preserve">      i)  Main Account VAT</t>
  </si>
  <si>
    <t xml:space="preserve">       i)  Main Account VAT</t>
  </si>
  <si>
    <t xml:space="preserve">      iii) Labour Cess</t>
  </si>
  <si>
    <t xml:space="preserve">      xiii)  Solar Plant</t>
  </si>
  <si>
    <t xml:space="preserve">     xxvi) National Service Scheme (A/C No. 30270100003144</t>
  </si>
  <si>
    <t>u) National Service Scheme</t>
  </si>
  <si>
    <t xml:space="preserve">     National Service Scheme</t>
  </si>
  <si>
    <t xml:space="preserve">    vi)  National Control Aids</t>
  </si>
  <si>
    <t xml:space="preserve">    Forfeited of EMD</t>
  </si>
  <si>
    <t xml:space="preserve">     xxvii) DBT Biotech R &amp; D Infra (A/C No. 30270200000043)</t>
  </si>
  <si>
    <t xml:space="preserve">     xxvi) National Service Scheme (A/C No. 30270100003144)</t>
  </si>
  <si>
    <t>v) DBT Biotech R &amp; D Infra</t>
  </si>
  <si>
    <t xml:space="preserve">     xxviii) DBT Twinning/Training Programme (A/C No. 30270100004474)</t>
  </si>
  <si>
    <t xml:space="preserve">     DBT- Twinning/Training Programme</t>
  </si>
  <si>
    <t>Other Income (Projects/Seminar Etc)</t>
  </si>
  <si>
    <t>d) Projects/Seminars Recoveries from Suppliers (VAT, CESS &amp; Income Tax)</t>
  </si>
  <si>
    <t xml:space="preserve">      iv) Income Tax</t>
  </si>
  <si>
    <t xml:space="preserve">      ii) Others VAT</t>
  </si>
  <si>
    <t>VIII. Projects Expenditure &amp; Advances &amp; Others:</t>
  </si>
  <si>
    <t>V. Projects Expenditure &amp; Advances &amp; Others:</t>
  </si>
  <si>
    <t>s) Hepatitis B Virus</t>
  </si>
  <si>
    <t>t) DBT- Twinning/Training Programme</t>
  </si>
  <si>
    <t xml:space="preserve">n) Rastriya Arogya Nidhi Scheme </t>
  </si>
  <si>
    <t>u) DBT R &amp; D Infra</t>
  </si>
  <si>
    <t xml:space="preserve">                            l) DBT- Twinning/Training Programme</t>
  </si>
  <si>
    <t xml:space="preserve">    13) Forfeited of EMD</t>
  </si>
  <si>
    <t xml:space="preserve">    14) Other- Projects</t>
  </si>
  <si>
    <t xml:space="preserve">    15) Other- Misc</t>
  </si>
  <si>
    <t>13. Solar Plant</t>
  </si>
  <si>
    <t>14.   OTHER FIXED ASSETS :</t>
  </si>
  <si>
    <t xml:space="preserve">                         Dr B Borgohain</t>
  </si>
  <si>
    <t xml:space="preserve">                         Seminar &amp; Workshop</t>
  </si>
  <si>
    <t xml:space="preserve">   xiv) ICMR</t>
  </si>
  <si>
    <t xml:space="preserve">  xiii) ICMR</t>
  </si>
  <si>
    <t xml:space="preserve">                           m) National Service Scheme</t>
  </si>
  <si>
    <t>v) National Service Scheme</t>
  </si>
  <si>
    <t xml:space="preserve">     ii) Savings Accounts</t>
  </si>
  <si>
    <t>(I) ICMR</t>
  </si>
  <si>
    <t>(h) Solar Plant</t>
  </si>
  <si>
    <t xml:space="preserve">                   i.  Out-Patient</t>
  </si>
  <si>
    <t xml:space="preserve">                   ii. Guest House</t>
  </si>
  <si>
    <t xml:space="preserve">                   iii.  Nursing College</t>
  </si>
  <si>
    <t xml:space="preserve">                   iv.  MBBS/PG Expenses</t>
  </si>
  <si>
    <t xml:space="preserve">          g) Salary (Contractual)</t>
  </si>
  <si>
    <t xml:space="preserve">          h) Others (specify)</t>
  </si>
  <si>
    <t xml:space="preserve">          f )  Pension</t>
  </si>
  <si>
    <t xml:space="preserve">     4)  Miscellaneous Income (IPO, Sales of Tender, Rent from Canteen, Pharmacy &amp; Electricity for Shops, RTI Etc)</t>
  </si>
  <si>
    <t xml:space="preserve">                    v) Dr. S.L. Sailo, Assistant Professor</t>
  </si>
  <si>
    <t xml:space="preserve">                    vi) Dr. Vandana Raphael, Professor</t>
  </si>
  <si>
    <t xml:space="preserve">                    vii) Mr. Achyut Deka, Stenographer</t>
  </si>
  <si>
    <t xml:space="preserve">                    viii) Dr Lutika Lyngdoh</t>
  </si>
  <si>
    <t xml:space="preserve">                    ix) Pro Assistant</t>
  </si>
  <si>
    <t xml:space="preserve">                    x) Ms C E Myrthong, I/c Principal, CON</t>
  </si>
  <si>
    <t xml:space="preserve">                    xi) Dr Sri Ram Sarma, Asst Prof</t>
  </si>
  <si>
    <t xml:space="preserve">                    xii) Dr. A.C. Phukan,Professor</t>
  </si>
  <si>
    <t xml:space="preserve">                    xiii) Dr. A.D. Ropmay,Asst Professor</t>
  </si>
  <si>
    <t xml:space="preserve">                    xiv) Dr. Asima Bhattacharya ,Professor &amp; Warden</t>
  </si>
  <si>
    <t xml:space="preserve">                    xv) Dr.N Natung, Asst Prof</t>
  </si>
  <si>
    <t xml:space="preserve">                    xvi) Dr. D.K.Brahma,Asst Professor </t>
  </si>
  <si>
    <t xml:space="preserve">                    xvii) Ms Guddi Bhagat, Hindi Typist</t>
  </si>
  <si>
    <t xml:space="preserve">                    xviii) Mr. D.T.Umdor,EE</t>
  </si>
  <si>
    <t xml:space="preserve">                    xix) Mr. M.Killing ,UDC</t>
  </si>
  <si>
    <t xml:space="preserve">                    xx) Mr.S.Kharbhih,stenographer</t>
  </si>
  <si>
    <t xml:space="preserve">                    xxi) Ms. Ibadahun Blah,stenographer</t>
  </si>
  <si>
    <t xml:space="preserve">                    xxii) Dr N Brian Shunyu, Asst Prof</t>
  </si>
  <si>
    <t xml:space="preserve">                    xxiii) Mr Umesh Sharma, Motor Machenics</t>
  </si>
  <si>
    <t xml:space="preserve">                    xxiv) Dr B Borgohain, Asst Prof</t>
  </si>
  <si>
    <t xml:space="preserve">                    xxv) Dr A J Momin, Casualty Officer</t>
  </si>
  <si>
    <t xml:space="preserve">                    xxvi) Dr Rituparna Baroah</t>
  </si>
  <si>
    <t xml:space="preserve">                   xxvii) Mr E Jiten Singh, Law Officer</t>
  </si>
  <si>
    <t xml:space="preserve">     v) GFATM</t>
  </si>
  <si>
    <t xml:space="preserve">     iii) ICMR/MIC [BoB-MDD]</t>
  </si>
  <si>
    <t xml:space="preserve">     iv) In Current Accounts (MawDD Branch)</t>
  </si>
  <si>
    <t xml:space="preserve">     v) Atlas Project BoB-PB</t>
  </si>
  <si>
    <t xml:space="preserve">     vi) Nursing College</t>
  </si>
  <si>
    <t xml:space="preserve">     vii) Referral Patient [Outside Patient]</t>
  </si>
  <si>
    <t xml:space="preserve">     viii) National Aids Control [NACO A/c No: 10019]</t>
  </si>
  <si>
    <t xml:space="preserve">     ix) MBBS (10015)</t>
  </si>
  <si>
    <t xml:space="preserve">     x) Janani Suraksha Yojana (10018)</t>
  </si>
  <si>
    <t xml:space="preserve">     xi) Guest House (2001062)</t>
  </si>
  <si>
    <t xml:space="preserve">     xii) Library (2001730)</t>
  </si>
  <si>
    <t xml:space="preserve">     xiii) Hospital Charges (2001066)</t>
  </si>
  <si>
    <t xml:space="preserve">     xiv) Pharmacy (2001490)</t>
  </si>
  <si>
    <t xml:space="preserve">     xv) GFATM Project  (A/C No 30270100000830)</t>
  </si>
  <si>
    <t xml:space="preserve">     xvi) PMR Medical College(A/c 02408)</t>
  </si>
  <si>
    <t xml:space="preserve">     xvii) Evaluation cum Impact Study-NEC</t>
  </si>
  <si>
    <t xml:space="preserve">     xviii) Rashtriya Arogya Nidhi Scheme (A/C No 10017)</t>
  </si>
  <si>
    <t xml:space="preserve">     xix) DGHS</t>
  </si>
  <si>
    <t xml:space="preserve">                 e)  Audit Fees</t>
  </si>
  <si>
    <t>SN</t>
  </si>
  <si>
    <t>Assets Detail</t>
  </si>
  <si>
    <t>Purchase Amount</t>
  </si>
  <si>
    <t>Depreciation upto 31.03.2012</t>
  </si>
  <si>
    <t>Amount realized on buy back of Old Machine</t>
  </si>
  <si>
    <t>OT Table (Hospitech Model : 115 of 2006</t>
  </si>
  <si>
    <t>Date of Purchase/Installed</t>
  </si>
  <si>
    <t>10.07.2006</t>
  </si>
  <si>
    <t>Profit (+)/Loss (-) on Disposal of Assets</t>
  </si>
  <si>
    <t>Date of Depreciation from 01.04.2012 to 08.06.2012</t>
  </si>
  <si>
    <t>Compact Cystoscope (Make: Wolf)</t>
  </si>
  <si>
    <t>Date of Depreciation from 01.04.2012 to 22.06.2012</t>
  </si>
  <si>
    <t>Motic Digital Microscope (Model-DMBI-2004)</t>
  </si>
  <si>
    <t>Date of Depreciation from 01.04.2012 to 14.09.2012</t>
  </si>
  <si>
    <t>Video Endoscope System</t>
  </si>
  <si>
    <t>22.01.2001</t>
  </si>
  <si>
    <t xml:space="preserve">Net Value of Assets as on 08.06.2012 </t>
  </si>
  <si>
    <t>01.09.2006</t>
  </si>
  <si>
    <t>Net Value of Assets as on 22.06.2012</t>
  </si>
  <si>
    <t>01.10.2006</t>
  </si>
  <si>
    <t xml:space="preserve">Net Value of Assets as on 14.09.2012 </t>
  </si>
  <si>
    <t>Net Value of Assets as on 14.09.2012</t>
  </si>
  <si>
    <t>Depreciation from 10.07.2006 to 31.03.2007</t>
  </si>
  <si>
    <t>Depreciation from 01.04.2007 to 31.03.2008</t>
  </si>
  <si>
    <t>Depreciation from 01.04.2008 to 31.03.2009</t>
  </si>
  <si>
    <t>Depreciation from 01.04.2009 to 31.03.2010</t>
  </si>
  <si>
    <t>Depreciation from 01.04.2010 to 31.03.2011</t>
  </si>
  <si>
    <t>Depreciation from 01.04.2011 to 31.03.2012</t>
  </si>
  <si>
    <t>Depreciation from 01.04.2012 to 08.06.2012</t>
  </si>
  <si>
    <t xml:space="preserve">Particulars/Machine </t>
  </si>
  <si>
    <t>Date of Purchase</t>
  </si>
  <si>
    <t>Amount Purchase/Installed</t>
  </si>
  <si>
    <t>Depreciation from 01.09.2006 to 31.03.2007</t>
  </si>
  <si>
    <t>Depreciation from 01.04.2012 to 22.06.2012</t>
  </si>
  <si>
    <t>Depreciation from 01.10.2006 to 31.03.2007</t>
  </si>
  <si>
    <t>Depreciation from 01.04.2012 to 14.09.2012</t>
  </si>
  <si>
    <t>Depreciation from 22.01.2001 to 31.03.2002</t>
  </si>
  <si>
    <t>Depreciation from 01.04.2002 to 31.03.2003</t>
  </si>
  <si>
    <t>Depreciation from 01.04.2003 to 31.03.2004</t>
  </si>
  <si>
    <t>Depreciation from 01.04.2004 to 31.03.2005</t>
  </si>
  <si>
    <t>Depreciation from 01.04.2005 to 31.03.2006</t>
  </si>
  <si>
    <t>Depreciation from 01.04.2006 to 31.03.2007</t>
  </si>
  <si>
    <t xml:space="preserve">     Global Fund RD 9 HIV IDU</t>
  </si>
  <si>
    <t>w) Global Fund RD 9 HIV IDU</t>
  </si>
  <si>
    <t xml:space="preserve">                           n) Global Fund RD 9 HIV IDU</t>
  </si>
  <si>
    <t>PMR Medical College</t>
  </si>
  <si>
    <t>Control Bliness</t>
  </si>
  <si>
    <t>Total Depreciation</t>
  </si>
  <si>
    <t>[Dr. A.G. Ahangar]                                                                                                                  Director                                                                                                      NEIGRIHMS</t>
  </si>
  <si>
    <t>[J.K. Sarma]                                                                                                               I/c Financial Adviser                                                                                              NEIGRIHMS</t>
  </si>
  <si>
    <t>[Dr. A.G. Ahangar]                                                                                                                                                                           Director                                                                                                                                                                                         NEIGRIHMS</t>
  </si>
  <si>
    <t xml:space="preserve">    vii) Salary (Contract)</t>
  </si>
  <si>
    <t xml:space="preserve">     xxix) Study of Hepatitis B- Virus (A/C 30270200000039)</t>
  </si>
  <si>
    <t xml:space="preserve">     xxx) Global Fund RD 9 HIV IDU</t>
  </si>
  <si>
    <t xml:space="preserve">     xxxiii)  Institute Seminar &amp; Workshop</t>
  </si>
  <si>
    <t xml:space="preserve">     xxxiv) Learing Research Allowance</t>
  </si>
  <si>
    <t xml:space="preserve">    xxxv) Audit Fee</t>
  </si>
  <si>
    <t xml:space="preserve">    xxxvi) Catering &amp; House Keeping Services</t>
  </si>
  <si>
    <t>w) DBT- Twinning/Training Programme</t>
  </si>
  <si>
    <t>x) Study of Hepatitis B- Virus</t>
  </si>
  <si>
    <t>y) Global Fund RD 9 HIV IDU</t>
  </si>
  <si>
    <t xml:space="preserve">      i)     Books &amp; Journals</t>
  </si>
  <si>
    <t xml:space="preserve">      xiv) Fixed Assets- ICMR</t>
  </si>
  <si>
    <t xml:space="preserve">     xvii)  MBBS-  Misc.Advance </t>
  </si>
  <si>
    <t xml:space="preserve">     xviii) MBBS-  AIIMS, New Delhi</t>
  </si>
  <si>
    <t xml:space="preserve">     xix)   M/s Dyna Hightech Power System Ltd</t>
  </si>
  <si>
    <t xml:space="preserve">     xx)    M/s NICSI, New Delhi</t>
  </si>
  <si>
    <t xml:space="preserve">     xxi)   M/s Eureka Forbes</t>
  </si>
  <si>
    <t xml:space="preserve">     xxii)  CMC/AMC Adv </t>
  </si>
  <si>
    <t xml:space="preserve">f) Guest House </t>
  </si>
  <si>
    <t>g) MBBS/PG</t>
  </si>
  <si>
    <t>h) Nursing College</t>
  </si>
  <si>
    <t>i) Library</t>
  </si>
  <si>
    <t>j) Pharmacy</t>
  </si>
  <si>
    <t>k) Hospital Charges Received</t>
  </si>
  <si>
    <t xml:space="preserve">    v)   Recovery from Staff (Others)</t>
  </si>
  <si>
    <t xml:space="preserve">     ix)     HBA (Lien)</t>
  </si>
  <si>
    <t xml:space="preserve">     x)     Interest on HBA (Lien)</t>
  </si>
  <si>
    <t xml:space="preserve">     xi)      JRD [Security Deposits]</t>
  </si>
  <si>
    <t xml:space="preserve">     xii)     Lic Fees (L)</t>
  </si>
  <si>
    <t xml:space="preserve">     xiii)    LIC (Lien)</t>
  </si>
  <si>
    <t xml:space="preserve">     xiv)   LIC (Staffs)   </t>
  </si>
  <si>
    <t xml:space="preserve">     xv)   MCA (Lien)</t>
  </si>
  <si>
    <t xml:space="preserve">     xvi)    MPSS [P/R-Lien]</t>
  </si>
  <si>
    <t xml:space="preserve">     xvii)   New Pension Scheme</t>
  </si>
  <si>
    <t xml:space="preserve">     xviii)  Proffessional Tax</t>
  </si>
  <si>
    <t xml:space="preserve">     xix) Water (Lien)</t>
  </si>
  <si>
    <t xml:space="preserve">     xx)   Income Tax</t>
  </si>
  <si>
    <t xml:space="preserve">     xxi)    Computer (Lien)</t>
  </si>
  <si>
    <t xml:space="preserve">     xxii)   Welfare Fund [P/R-Lien]</t>
  </si>
  <si>
    <t xml:space="preserve">     xxiii)  PMBRF [Staffs]</t>
  </si>
  <si>
    <t xml:space="preserve">    xxii)    Misc Adv [Deputy Director, RIO, CEA/HT Cable]  </t>
  </si>
  <si>
    <t xml:space="preserve">   viii)    Interest on HBA (Lien)</t>
  </si>
  <si>
    <t xml:space="preserve">       ii) Others VAT</t>
  </si>
  <si>
    <t xml:space="preserve">       iii) Labour Cess</t>
  </si>
  <si>
    <t xml:space="preserve">       iv) Income Tax</t>
  </si>
  <si>
    <t xml:space="preserve">      vii) Seminar &amp; Workshop</t>
  </si>
  <si>
    <t xml:space="preserve">   v) Medical Equipment</t>
  </si>
  <si>
    <t xml:space="preserve">   vii) Excess on Capitalized [Medical Equipment]</t>
  </si>
  <si>
    <t xml:space="preserve">    vii)    GFATM Project </t>
  </si>
  <si>
    <t xml:space="preserve">    viii)   DGHS Expenses</t>
  </si>
  <si>
    <t xml:space="preserve">     ix)  Radiology Expenses</t>
  </si>
  <si>
    <t xml:space="preserve">     x)  NEC Expenses</t>
  </si>
  <si>
    <t xml:space="preserve">     xi)   Evaluation cum Impact Study Expenses</t>
  </si>
  <si>
    <t xml:space="preserve">     xii)  Rashtriya Arogya Nidhi Scheme</t>
  </si>
  <si>
    <t xml:space="preserve">     xiii) Seminar &amp; Workshops </t>
  </si>
  <si>
    <t xml:space="preserve">     xiv) PMR Expenses</t>
  </si>
  <si>
    <t xml:space="preserve">     xv) Surrender of Grant along with the Interest</t>
  </si>
  <si>
    <t xml:space="preserve">     xvi) DBT R &amp; D Infra</t>
  </si>
  <si>
    <t xml:space="preserve">     xvii) DBT- Twinning/Training Programme</t>
  </si>
  <si>
    <t xml:space="preserve">     xviii) Hepatitis B Virus</t>
  </si>
  <si>
    <t xml:space="preserve">     xix) Global Fund RD 9 HIV IDU</t>
  </si>
  <si>
    <t xml:space="preserve">     xv)   Hospital Charges (A/c No : 2001066)</t>
  </si>
  <si>
    <t xml:space="preserve">     xvi)    Pharmacy (A/c No : 2001490)</t>
  </si>
  <si>
    <t xml:space="preserve">     xvii)  GFATM Project -Nursing College (A/C No : 30270100000830)</t>
  </si>
  <si>
    <t xml:space="preserve">     xviii)   PMR Medical College(A/c No :  02408)</t>
  </si>
  <si>
    <t xml:space="preserve">     xix) Evaluation cum Impact Study-NEC </t>
  </si>
  <si>
    <t xml:space="preserve">     xxiii)  Seminar/Workshop (A/C No. 30270200000029)</t>
  </si>
  <si>
    <t xml:space="preserve">     xxiv)  Security Deposits/EMD  (A/C No. 30270200000027)</t>
  </si>
  <si>
    <t xml:space="preserve">e)   Repair &amp; Maintenance </t>
  </si>
  <si>
    <t>f)  Rent, Rates and Taxes</t>
  </si>
  <si>
    <t xml:space="preserve">g)   Postage, Telephone and Communication Charges </t>
  </si>
  <si>
    <t>h)  Printing and Publication</t>
  </si>
  <si>
    <t>i)  Travelling and Conveyance Expenses (Conveyance, LTC &amp; TA/DA)</t>
  </si>
  <si>
    <t>j)  Expenses on Projects: Verbal Autopsy, Atlas, MIC, JSY, NCA &amp; ICMR, DBT, DGHS, &amp; Seminars &amp; Workshops , RANS,  GFATM, National Programme for Control of Blindness &amp; Evaluation Cum Impact Study, Global Fund RD 9 HIV IDU &amp; Others</t>
  </si>
  <si>
    <t>k)  Subscription Expenses/ Newspaper</t>
  </si>
  <si>
    <t>l)  Water Charges</t>
  </si>
  <si>
    <t>m)  Auditors Remuneration</t>
  </si>
  <si>
    <t>n)  Inspection Fees (Nursing College)</t>
  </si>
  <si>
    <t>o)   Professional Charges (Retainning fee &amp; Professional fees)</t>
  </si>
  <si>
    <t>p)  Provision for bad and Doubtful Debts/Advances</t>
  </si>
  <si>
    <t xml:space="preserve">q)  Fees &amp; Taxes </t>
  </si>
  <si>
    <t>r)  Packing Charges</t>
  </si>
  <si>
    <t>s)   Refund of Non-Govt Aid</t>
  </si>
  <si>
    <t xml:space="preserve">t)   Distribution Expenses </t>
  </si>
  <si>
    <t>u)   Electrical items</t>
  </si>
  <si>
    <t>v) Maintenance/Running of Sub Station</t>
  </si>
  <si>
    <t>w) Release of EMD</t>
  </si>
  <si>
    <t>x) Crockeries/Utensils</t>
  </si>
  <si>
    <t>y) Sitting fees</t>
  </si>
  <si>
    <t>z) Correction of Answer Scripts</t>
  </si>
  <si>
    <t>aa) Stationery</t>
  </si>
  <si>
    <t>ab) Advertisement and Publicity</t>
  </si>
  <si>
    <t>ac) Medical Expenses</t>
  </si>
  <si>
    <t>ad) [Nursing College]</t>
  </si>
  <si>
    <t xml:space="preserve">ae)  Others </t>
  </si>
  <si>
    <t>af) Entrance Exams [Post Graduade]</t>
  </si>
  <si>
    <t>ag) Rent for Clinical Duty</t>
  </si>
  <si>
    <t>ah) Cadavers Expenses</t>
  </si>
  <si>
    <t>ai) Children Education Allowance</t>
  </si>
  <si>
    <t>aj) Dietary Services</t>
  </si>
  <si>
    <t>ak) Overtime Allowance</t>
  </si>
  <si>
    <t>al) M/s HSCC</t>
  </si>
  <si>
    <t>am) Institute (Seminar &amp; Workshop)</t>
  </si>
  <si>
    <t xml:space="preserve">an)  Repairs and Maintenance : </t>
  </si>
  <si>
    <t>ao) General Maintenance</t>
  </si>
  <si>
    <t>ap) Loss on Sales of Fixed Assets</t>
  </si>
  <si>
    <t>aq) Learning &amp; Research Allowance</t>
  </si>
  <si>
    <t>ar) Annual Day Celebrarion</t>
  </si>
  <si>
    <t>as) Book/Thesis Grant</t>
  </si>
  <si>
    <t>at) Catering &amp; House Keeping Services</t>
  </si>
  <si>
    <t>au) Others Expenses :</t>
  </si>
  <si>
    <t xml:space="preserve">       iii)  Uniform</t>
  </si>
  <si>
    <t xml:space="preserve">       iv)  Furnishing</t>
  </si>
  <si>
    <t xml:space="preserve">       v)  Vehicle Hiring Charges</t>
  </si>
  <si>
    <t xml:space="preserve">       vi)  POL</t>
  </si>
  <si>
    <t xml:space="preserve">       vii)  Teaching and Learning Material</t>
  </si>
  <si>
    <t xml:space="preserve">       viii)  Consultancy [HSCC]</t>
  </si>
  <si>
    <t xml:space="preserve">       ix)   MBBS/PG Expenses</t>
  </si>
  <si>
    <t>i) NEC Scheme</t>
  </si>
  <si>
    <t xml:space="preserve">                       vi)  LTC</t>
  </si>
  <si>
    <t xml:space="preserve">                       vii) Motor Cycle Advance</t>
  </si>
  <si>
    <t xml:space="preserve">                       viii) Computer</t>
  </si>
  <si>
    <t xml:space="preserve">                       ix) MIC Advance</t>
  </si>
  <si>
    <t xml:space="preserve">                       x) Miscellaneous</t>
  </si>
  <si>
    <t xml:space="preserve">                       xi) Inspection Fees ( Director,RIO, CEA )</t>
  </si>
  <si>
    <t xml:space="preserve">                       xii) Adv [M/s NICSI, New Delhi]</t>
  </si>
  <si>
    <t xml:space="preserve">                       xiii) MBBS(AIIMS, New Delhi )</t>
  </si>
  <si>
    <t xml:space="preserve">                       xiv) Advance ( AMC/CMC)</t>
  </si>
  <si>
    <t xml:space="preserve">                          iv) Advance to Dr. A.C. Phukan, MS, JSY</t>
  </si>
  <si>
    <t xml:space="preserve">                          v) Advance- ICMR</t>
  </si>
  <si>
    <t xml:space="preserve">     xx) Development Upgrading Infrastructure in MC </t>
  </si>
  <si>
    <t xml:space="preserve">     xxi) Security Deposits/ Earnest Money Deposits </t>
  </si>
  <si>
    <t xml:space="preserve">     xxii) Seminars &amp; Workshops</t>
  </si>
  <si>
    <t xml:space="preserve">     xxiii) National Programme for Control of Blindness</t>
  </si>
  <si>
    <t xml:space="preserve">     xxiv) National Service Scheme (A/C No. 30270100003144)</t>
  </si>
  <si>
    <t xml:space="preserve">     xxv) DBT Biotech R &amp; D Infra (A/C No. 30270200000043)</t>
  </si>
  <si>
    <t xml:space="preserve">     xxvi) DBT Twinning/Training Programme (A/C No. 30270100004474)</t>
  </si>
  <si>
    <t xml:space="preserve">     xxvii) Study of Hepatitis B- Virus (A/C 30270200000039)</t>
  </si>
  <si>
    <t xml:space="preserve">       i) Main Civil Works [Permanent Campus]</t>
  </si>
  <si>
    <t xml:space="preserve">                 f)  Salaries </t>
  </si>
  <si>
    <t xml:space="preserve">                 g) Security Charges</t>
  </si>
  <si>
    <t xml:space="preserve">                 h)  Salary (Contractual) </t>
  </si>
  <si>
    <t xml:space="preserve">                 i) Electricity Charges</t>
  </si>
  <si>
    <t xml:space="preserve">                 j) GPF Staff</t>
  </si>
  <si>
    <t xml:space="preserve">                 k) Hiring of Manpower</t>
  </si>
  <si>
    <t xml:space="preserve">                l) Consumable &amp; Medicines</t>
  </si>
  <si>
    <t xml:space="preserve">                n) Stationery</t>
  </si>
  <si>
    <t xml:space="preserve">                o) LIC (Staff)</t>
  </si>
  <si>
    <t xml:space="preserve">                p) NPS</t>
  </si>
  <si>
    <t xml:space="preserve">                q) Security Deposit / Retention Money</t>
  </si>
  <si>
    <t xml:space="preserve">                s) Student Nursing College, Mess Money Etc</t>
  </si>
  <si>
    <t xml:space="preserve">                t) Earnest Money Deposits</t>
  </si>
  <si>
    <t xml:space="preserve">                u) Security Deposits / Retention Money</t>
  </si>
  <si>
    <t xml:space="preserve">                v) Repair &amp; Maintenance [Equipments]</t>
  </si>
  <si>
    <t xml:space="preserve">                w) Vehicle Hiring Charges</t>
  </si>
  <si>
    <t xml:space="preserve">                x) Medical Equipments</t>
  </si>
  <si>
    <t xml:space="preserve">                y)  Books &amp; Journals</t>
  </si>
  <si>
    <t xml:space="preserve">                z)  Repair &amp; Maintenance [AMC/CMC]/Others</t>
  </si>
  <si>
    <t xml:space="preserve">                aa)  Furnishing</t>
  </si>
  <si>
    <t xml:space="preserve">                ab)  POL</t>
  </si>
  <si>
    <t xml:space="preserve">                ac) Dietary Services</t>
  </si>
  <si>
    <t xml:space="preserve">                 ad) JRD [Security Deposit]</t>
  </si>
  <si>
    <t xml:space="preserve">                 ae) Office Equipments</t>
  </si>
  <si>
    <t xml:space="preserve">                 af) Telephone Charges</t>
  </si>
  <si>
    <t xml:space="preserve">                 ag) Advertisement</t>
  </si>
  <si>
    <t xml:space="preserve">                 ah) Electrical Items</t>
  </si>
  <si>
    <t xml:space="preserve">                 ai) Recoveries form Suppliers</t>
  </si>
  <si>
    <t xml:space="preserve">                 aj) MCA ( Lien )</t>
  </si>
  <si>
    <t xml:space="preserve">                 ak) Learning Resourse Allowance</t>
  </si>
  <si>
    <t xml:space="preserve">                 al) Medical Expenses</t>
  </si>
  <si>
    <t xml:space="preserve">                 am) Newpaper/Subscriptions</t>
  </si>
  <si>
    <t xml:space="preserve">                 an) TA/DA</t>
  </si>
  <si>
    <t xml:space="preserve">                 ao) Teaching &amp; Learning Materials]</t>
  </si>
  <si>
    <t xml:space="preserve">                 ap) Children Education Allowance</t>
  </si>
  <si>
    <t xml:space="preserve">                 aq) New Pension Scheme- Govt Contribution</t>
  </si>
  <si>
    <t xml:space="preserve">                 ar) General Maintenance</t>
  </si>
  <si>
    <t xml:space="preserve">                 as) GSLI</t>
  </si>
  <si>
    <t xml:space="preserve">                 at) Crockeris Items</t>
  </si>
  <si>
    <t xml:space="preserve">                 au) Catering &amp; Housing Keeping Services</t>
  </si>
  <si>
    <t xml:space="preserve">                  f) Deposit (Dr.A.C. Bhuyan, Org Chairman )</t>
  </si>
  <si>
    <t xml:space="preserve">                  g) Seminar &amp; Workshops</t>
  </si>
  <si>
    <t xml:space="preserve">        ii Income from Investments made on account of funds</t>
  </si>
  <si>
    <t xml:space="preserve">        iii Other additions (specify nature)</t>
  </si>
  <si>
    <t>VI.</t>
  </si>
  <si>
    <t>Closing Balance::</t>
  </si>
  <si>
    <t xml:space="preserve">     xxviii) Global Fund RD 9 HIV IDU</t>
  </si>
  <si>
    <t xml:space="preserve">     xxiv) NSA Staff Contribution</t>
  </si>
  <si>
    <t>[Dr. A.G. Ahangar]                                                                                                                  Director                                                                                                                                                             NEIGRIHMS</t>
  </si>
  <si>
    <t>Contd: page 14</t>
  </si>
  <si>
    <t>Contd: page 15</t>
  </si>
  <si>
    <t>[Dr. A.G. Ahangar]                                                                                                                  Director                                                                                                                                             NEIGRIHMS</t>
  </si>
  <si>
    <r>
      <t xml:space="preserve">(Amount - </t>
    </r>
    <r>
      <rPr>
        <b/>
        <sz val="12"/>
        <rFont val="Rupee"/>
      </rPr>
      <t>`</t>
    </r>
    <r>
      <rPr>
        <b/>
        <sz val="12"/>
        <rFont val="Arial Narrow"/>
        <family val="2"/>
      </rPr>
      <t>)</t>
    </r>
  </si>
  <si>
    <t>Page 14 of 43</t>
  </si>
  <si>
    <t>Page 16 of 43</t>
  </si>
  <si>
    <t>Contd: page 20</t>
  </si>
  <si>
    <t>Contd: page 21</t>
  </si>
  <si>
    <t>Contd: page 22</t>
  </si>
  <si>
    <t>Contd: page 25</t>
  </si>
  <si>
    <r>
      <t xml:space="preserve">(Amount - </t>
    </r>
    <r>
      <rPr>
        <b/>
        <sz val="11"/>
        <rFont val="Rupee"/>
      </rPr>
      <t>`</t>
    </r>
    <r>
      <rPr>
        <b/>
        <sz val="11"/>
        <rFont val="Arial Narrow"/>
        <family val="2"/>
      </rPr>
      <t>)</t>
    </r>
  </si>
  <si>
    <t>Page 32 of 43</t>
  </si>
  <si>
    <t>Page 33 of 43</t>
  </si>
  <si>
    <t>Contd: page 34</t>
  </si>
  <si>
    <t>Page 34 of 43</t>
  </si>
  <si>
    <t>Contd: page 35</t>
  </si>
  <si>
    <t>Page 35 of 43</t>
  </si>
  <si>
    <t>Contd: page 36</t>
  </si>
  <si>
    <t>Page 36 of 43</t>
  </si>
  <si>
    <t>Page 37 of 43</t>
  </si>
  <si>
    <t>Page 3 of 43</t>
  </si>
  <si>
    <t>Contd: page 4</t>
  </si>
  <si>
    <t>BALANCE SHEET AS AT 31.3.2014</t>
  </si>
  <si>
    <t>INCOME AND EXPENDITURE ACCOUNT FOR THE YEAR ENDED 31.03.2014</t>
  </si>
  <si>
    <t>RECEIPTS AND PAYMENT ACCOUNT FOR THE YEAR ENDED ON 31.03.2014</t>
  </si>
  <si>
    <t>SCHEDULES FORMING PART OF BALANCE SHEET AS AT 31.03.2014</t>
  </si>
  <si>
    <t>SCHEDULES FORMING PART OF INCOME AND EXPENDITURE ACCOUNT FOR THE YEAR ENDED 31.03.2014</t>
  </si>
  <si>
    <t>SCHEDULES FORMING PART OF THE INCOME AND EXPENDITURE ACCOUNT FOR THE YEAR ENDED 31.03.2014</t>
  </si>
  <si>
    <t xml:space="preserve">      xxv) D.A Imp (Lien)</t>
  </si>
  <si>
    <t xml:space="preserve">   xxv) D.A Imp(Lien)</t>
  </si>
  <si>
    <t xml:space="preserve">       v) Service Tax</t>
  </si>
  <si>
    <t xml:space="preserve">                         v) LIC [Lien]</t>
  </si>
  <si>
    <t xml:space="preserve">                         vi) NPS [Lien]</t>
  </si>
  <si>
    <t xml:space="preserve">                 av) Value Added Tax</t>
  </si>
  <si>
    <t xml:space="preserve">                   xxviii) Ms Sanchit Chakraborty, Hindi Translator</t>
  </si>
  <si>
    <t xml:space="preserve">                    xxix) Dr Lomtu Ronrang, Asst Prof</t>
  </si>
  <si>
    <t xml:space="preserve">                    xxx) Dr L Purnima Devi, Asst Prof</t>
  </si>
  <si>
    <t xml:space="preserve">                   xxxi) Dr Shikha, Asst Prof</t>
  </si>
  <si>
    <t xml:space="preserve">                  xxxii) Prof P Bhattacharyya, Professor</t>
  </si>
  <si>
    <t xml:space="preserve">                 xxxiii) Mr A Brajamohan Singh</t>
  </si>
  <si>
    <t>Calculation of Depreciation for the Fixed Assets: ( 2013 to 2014)</t>
  </si>
  <si>
    <t>SCHEDULE OF FIXED ASSETS 2013-2014</t>
  </si>
  <si>
    <t xml:space="preserve">                 aw) Office Maintenace</t>
  </si>
  <si>
    <t xml:space="preserve">                 ax) Repairs &amp; Maintenance (vehicles)</t>
  </si>
  <si>
    <t xml:space="preserve">                r) Pension Deposits</t>
  </si>
  <si>
    <t xml:space="preserve">                 ay) Pension Expenses</t>
  </si>
  <si>
    <t xml:space="preserve">                 az) Minor Civil Work</t>
  </si>
  <si>
    <t xml:space="preserve">     xxxiii) Catering &amp; Housekeeping</t>
  </si>
  <si>
    <t>`</t>
  </si>
  <si>
    <t xml:space="preserve">      xx) National Sercice Schemes</t>
  </si>
  <si>
    <t xml:space="preserve">    xv) DBT Twining Training Programme</t>
  </si>
  <si>
    <t xml:space="preserve">                aaa) Value Added Tax Projects</t>
  </si>
  <si>
    <t xml:space="preserve">    xii)  Nursing College Adv </t>
  </si>
  <si>
    <t xml:space="preserve">    xiii) Refund Grant-Seminar &amp; Workshops</t>
  </si>
  <si>
    <t xml:space="preserve">                          vii) DBT Twinning Training Programme</t>
  </si>
  <si>
    <t xml:space="preserve">     xxxi) Hospital Revolving Fund (A/c No.</t>
  </si>
  <si>
    <t xml:space="preserve">     viii) Hospital Revolving Fund</t>
  </si>
  <si>
    <t xml:space="preserve">                  h) Hospital Revolving Fund</t>
  </si>
  <si>
    <t xml:space="preserve">     xxix) Hospital Revolving Fund (A/c No.</t>
  </si>
  <si>
    <t>Amount from 01.04.2011 -30.09.2013</t>
  </si>
  <si>
    <t>Amount from 01.10.2011 -31.03.2014</t>
  </si>
  <si>
    <t xml:space="preserve">              c) Medical Equipments- Project</t>
  </si>
  <si>
    <t xml:space="preserve">                            a)  Employees/Staff (Interest on MCA)</t>
  </si>
  <si>
    <t xml:space="preserve">                            b)  Employees/Staff (Interest on HBA)</t>
  </si>
  <si>
    <t>DBT R&amp;D INFRA</t>
  </si>
  <si>
    <r>
      <t xml:space="preserve">(Amount - </t>
    </r>
    <r>
      <rPr>
        <b/>
        <sz val="12"/>
        <rFont val="Rupee Foradian"/>
        <family val="2"/>
      </rPr>
      <t>`</t>
    </r>
    <r>
      <rPr>
        <b/>
        <sz val="12"/>
        <rFont val="Arial Narrow"/>
        <family val="2"/>
      </rPr>
      <t>)</t>
    </r>
  </si>
  <si>
    <t>Sales of Disposable Items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</si>
</sst>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_(* #,##0.00_);_(* \(#,##0.00\);_(* &quot;-&quot;??_);_(@_)"/>
    <numFmt numFmtId="165" formatCode="00%"/>
    <numFmt numFmtId="166" formatCode="0.00_);\(0.00\)"/>
    <numFmt numFmtId="167" formatCode="0.00;[Red]0.00"/>
    <numFmt numFmtId="168" formatCode="0.0"/>
  </numFmts>
  <fonts count="34">
    <font>
      <sz val="10"/>
      <name val="Arial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0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sz val="12"/>
      <color indexed="10"/>
      <name val="Arial Narrow"/>
      <family val="2"/>
    </font>
    <font>
      <sz val="12"/>
      <color indexed="57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2"/>
      <color rgb="FFFF0000"/>
      <name val="Arial Narrow"/>
      <family val="2"/>
    </font>
    <font>
      <sz val="11.5"/>
      <name val="Arial Narrow"/>
      <family val="2"/>
    </font>
    <font>
      <sz val="12"/>
      <color rgb="FF00B050"/>
      <name val="Arial Narrow"/>
      <family val="2"/>
    </font>
    <font>
      <b/>
      <sz val="12"/>
      <color rgb="FFFF0000"/>
      <name val="Arial Narrow"/>
      <family val="2"/>
    </font>
    <font>
      <b/>
      <sz val="12"/>
      <color theme="1"/>
      <name val="Arial Narrow"/>
      <family val="2"/>
    </font>
    <font>
      <b/>
      <sz val="15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FF0000"/>
      <name val="Arial Narrow"/>
      <family val="2"/>
    </font>
    <font>
      <sz val="12"/>
      <color theme="1"/>
      <name val="Arial Narrow"/>
      <family val="2"/>
    </font>
    <font>
      <b/>
      <sz val="15"/>
      <color theme="1"/>
      <name val="Arial Narrow"/>
      <family val="2"/>
    </font>
    <font>
      <b/>
      <sz val="15"/>
      <color theme="1"/>
      <name val="Rupee Foradian"/>
      <family val="2"/>
    </font>
    <font>
      <b/>
      <sz val="20"/>
      <color rgb="FFFF0000"/>
      <name val="Arial Narrow"/>
      <family val="2"/>
    </font>
    <font>
      <b/>
      <sz val="12"/>
      <name val="Rupee"/>
    </font>
    <font>
      <b/>
      <sz val="11"/>
      <name val="Rupee"/>
    </font>
    <font>
      <sz val="12"/>
      <name val="Rupee Foradian"/>
      <family val="2"/>
    </font>
    <font>
      <b/>
      <sz val="12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4">
    <xf numFmtId="0" fontId="0" fillId="0" borderId="0" xfId="0"/>
    <xf numFmtId="0" fontId="3" fillId="0" borderId="1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right"/>
    </xf>
    <xf numFmtId="2" fontId="3" fillId="0" borderId="3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 wrapText="1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5" fillId="0" borderId="2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2" fontId="7" fillId="0" borderId="0" xfId="0" applyNumberFormat="1" applyFont="1"/>
    <xf numFmtId="0" fontId="5" fillId="0" borderId="0" xfId="0" applyFont="1" applyBorder="1"/>
    <xf numFmtId="2" fontId="5" fillId="0" borderId="0" xfId="0" applyNumberFormat="1" applyFont="1" applyBorder="1"/>
    <xf numFmtId="0" fontId="5" fillId="0" borderId="0" xfId="0" applyFont="1" applyBorder="1" applyAlignment="1">
      <alignment horizontal="center" wrapText="1"/>
    </xf>
    <xf numFmtId="2" fontId="7" fillId="0" borderId="2" xfId="0" applyNumberFormat="1" applyFont="1" applyBorder="1"/>
    <xf numFmtId="2" fontId="5" fillId="0" borderId="2" xfId="0" applyNumberFormat="1" applyFont="1" applyBorder="1"/>
    <xf numFmtId="2" fontId="7" fillId="0" borderId="2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5" fillId="0" borderId="0" xfId="0" applyFont="1"/>
    <xf numFmtId="2" fontId="5" fillId="0" borderId="4" xfId="0" applyNumberFormat="1" applyFont="1" applyBorder="1"/>
    <xf numFmtId="0" fontId="7" fillId="0" borderId="0" xfId="0" applyFont="1" applyFill="1"/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justify" wrapText="1"/>
    </xf>
    <xf numFmtId="164" fontId="7" fillId="0" borderId="2" xfId="1" applyFont="1" applyBorder="1" applyAlignment="1">
      <alignment horizontal="right"/>
    </xf>
    <xf numFmtId="164" fontId="7" fillId="0" borderId="2" xfId="1" applyFont="1" applyBorder="1"/>
    <xf numFmtId="164" fontId="7" fillId="0" borderId="2" xfId="1" applyFont="1" applyBorder="1" applyAlignment="1">
      <alignment horizontal="center"/>
    </xf>
    <xf numFmtId="164" fontId="5" fillId="0" borderId="2" xfId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0" fontId="5" fillId="0" borderId="4" xfId="0" applyFont="1" applyFill="1" applyBorder="1"/>
    <xf numFmtId="0" fontId="7" fillId="0" borderId="2" xfId="0" applyFont="1" applyFill="1" applyBorder="1" applyAlignment="1">
      <alignment horizontal="left"/>
    </xf>
    <xf numFmtId="2" fontId="7" fillId="0" borderId="2" xfId="1" applyNumberFormat="1" applyFont="1" applyFill="1" applyBorder="1"/>
    <xf numFmtId="164" fontId="5" fillId="0" borderId="2" xfId="1" applyFont="1" applyBorder="1"/>
    <xf numFmtId="164" fontId="5" fillId="0" borderId="4" xfId="1" applyFont="1" applyBorder="1" applyAlignment="1">
      <alignment horizontal="right"/>
    </xf>
    <xf numFmtId="0" fontId="3" fillId="0" borderId="0" xfId="0" applyFont="1" applyFill="1"/>
    <xf numFmtId="0" fontId="2" fillId="0" borderId="0" xfId="0" applyFont="1" applyFill="1"/>
    <xf numFmtId="2" fontId="2" fillId="0" borderId="0" xfId="0" applyNumberFormat="1" applyFont="1" applyFill="1"/>
    <xf numFmtId="2" fontId="3" fillId="0" borderId="0" xfId="0" applyNumberFormat="1" applyFont="1" applyFill="1"/>
    <xf numFmtId="0" fontId="3" fillId="0" borderId="6" xfId="0" applyFont="1" applyFill="1" applyBorder="1" applyAlignment="1">
      <alignment horizontal="right"/>
    </xf>
    <xf numFmtId="0" fontId="2" fillId="0" borderId="3" xfId="0" applyFont="1" applyFill="1" applyBorder="1"/>
    <xf numFmtId="2" fontId="2" fillId="0" borderId="3" xfId="0" applyNumberFormat="1" applyFont="1" applyFill="1" applyBorder="1"/>
    <xf numFmtId="2" fontId="2" fillId="0" borderId="3" xfId="0" applyNumberFormat="1" applyFont="1" applyFill="1" applyBorder="1" applyAlignment="1"/>
    <xf numFmtId="2" fontId="2" fillId="0" borderId="7" xfId="0" applyNumberFormat="1" applyFont="1" applyFill="1" applyBorder="1"/>
    <xf numFmtId="9" fontId="2" fillId="0" borderId="2" xfId="0" applyNumberFormat="1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/>
    </xf>
    <xf numFmtId="2" fontId="2" fillId="0" borderId="2" xfId="0" applyNumberFormat="1" applyFont="1" applyFill="1" applyBorder="1" applyAlignment="1"/>
    <xf numFmtId="2" fontId="2" fillId="0" borderId="2" xfId="0" applyNumberFormat="1" applyFont="1" applyFill="1" applyBorder="1"/>
    <xf numFmtId="2" fontId="2" fillId="0" borderId="8" xfId="0" applyNumberFormat="1" applyFont="1" applyFill="1" applyBorder="1"/>
    <xf numFmtId="0" fontId="2" fillId="0" borderId="1" xfId="0" applyFont="1" applyFill="1" applyBorder="1" applyAlignment="1">
      <alignment horizontal="right"/>
    </xf>
    <xf numFmtId="2" fontId="3" fillId="0" borderId="4" xfId="0" applyNumberFormat="1" applyFont="1" applyFill="1" applyBorder="1" applyAlignment="1"/>
    <xf numFmtId="2" fontId="3" fillId="0" borderId="4" xfId="0" applyNumberFormat="1" applyFont="1" applyFill="1" applyBorder="1" applyAlignment="1">
      <alignment horizontal="right"/>
    </xf>
    <xf numFmtId="2" fontId="3" fillId="0" borderId="3" xfId="0" applyNumberFormat="1" applyFont="1" applyFill="1" applyBorder="1" applyAlignment="1"/>
    <xf numFmtId="2" fontId="2" fillId="0" borderId="0" xfId="0" applyNumberFormat="1" applyFont="1" applyFill="1" applyBorder="1" applyAlignment="1"/>
    <xf numFmtId="164" fontId="7" fillId="0" borderId="0" xfId="0" applyNumberFormat="1" applyFont="1"/>
    <xf numFmtId="2" fontId="5" fillId="0" borderId="0" xfId="0" applyNumberFormat="1" applyFont="1"/>
    <xf numFmtId="0" fontId="2" fillId="0" borderId="0" xfId="0" applyFont="1" applyFill="1" applyBorder="1"/>
    <xf numFmtId="2" fontId="2" fillId="0" borderId="14" xfId="0" applyNumberFormat="1" applyFont="1" applyFill="1" applyBorder="1"/>
    <xf numFmtId="2" fontId="2" fillId="0" borderId="1" xfId="0" applyNumberFormat="1" applyFont="1" applyFill="1" applyBorder="1" applyAlignment="1">
      <alignment horizontal="right"/>
    </xf>
    <xf numFmtId="2" fontId="2" fillId="0" borderId="14" xfId="0" applyNumberFormat="1" applyFont="1" applyFill="1" applyBorder="1" applyAlignment="1">
      <alignment horizontal="right"/>
    </xf>
    <xf numFmtId="2" fontId="2" fillId="0" borderId="16" xfId="0" applyNumberFormat="1" applyFont="1" applyFill="1" applyBorder="1"/>
    <xf numFmtId="0" fontId="3" fillId="0" borderId="0" xfId="0" applyFont="1" applyFill="1" applyBorder="1"/>
    <xf numFmtId="2" fontId="2" fillId="0" borderId="19" xfId="0" applyNumberFormat="1" applyFont="1" applyFill="1" applyBorder="1"/>
    <xf numFmtId="2" fontId="3" fillId="0" borderId="13" xfId="0" applyNumberFormat="1" applyFont="1" applyFill="1" applyBorder="1"/>
    <xf numFmtId="2" fontId="2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13" xfId="0" applyFont="1" applyBorder="1" applyAlignment="1">
      <alignment horizontal="center" vertical="top"/>
    </xf>
    <xf numFmtId="0" fontId="2" fillId="0" borderId="17" xfId="0" applyFont="1" applyBorder="1"/>
    <xf numFmtId="2" fontId="2" fillId="0" borderId="14" xfId="0" applyNumberFormat="1" applyFont="1" applyBorder="1"/>
    <xf numFmtId="2" fontId="2" fillId="0" borderId="0" xfId="0" applyNumberFormat="1" applyFont="1"/>
    <xf numFmtId="2" fontId="2" fillId="0" borderId="14" xfId="0" applyNumberFormat="1" applyFont="1" applyBorder="1" applyAlignment="1">
      <alignment horizontal="center"/>
    </xf>
    <xf numFmtId="0" fontId="2" fillId="0" borderId="19" xfId="0" applyFont="1" applyBorder="1"/>
    <xf numFmtId="2" fontId="2" fillId="0" borderId="19" xfId="0" applyNumberFormat="1" applyFont="1" applyBorder="1"/>
    <xf numFmtId="0" fontId="3" fillId="0" borderId="13" xfId="0" applyFont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20" xfId="0" applyFont="1" applyBorder="1"/>
    <xf numFmtId="0" fontId="2" fillId="0" borderId="21" xfId="0" applyFont="1" applyBorder="1"/>
    <xf numFmtId="2" fontId="2" fillId="0" borderId="0" xfId="0" applyNumberFormat="1" applyFont="1" applyBorder="1"/>
    <xf numFmtId="0" fontId="2" fillId="0" borderId="22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23" xfId="0" applyFont="1" applyBorder="1"/>
    <xf numFmtId="0" fontId="3" fillId="0" borderId="20" xfId="0" applyFont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/>
    <xf numFmtId="0" fontId="9" fillId="0" borderId="0" xfId="0" applyFont="1" applyBorder="1" applyAlignment="1">
      <alignment horizontal="center" wrapText="1"/>
    </xf>
    <xf numFmtId="0" fontId="9" fillId="0" borderId="0" xfId="0" applyFont="1"/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5" xfId="0" applyFont="1" applyBorder="1"/>
    <xf numFmtId="0" fontId="2" fillId="0" borderId="16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19" xfId="0" applyFont="1" applyFill="1" applyBorder="1"/>
    <xf numFmtId="0" fontId="3" fillId="0" borderId="0" xfId="0" applyFont="1" applyFill="1" applyBorder="1" applyAlignment="1">
      <alignment wrapText="1"/>
    </xf>
    <xf numFmtId="0" fontId="2" fillId="0" borderId="21" xfId="0" applyFont="1" applyFill="1" applyBorder="1"/>
    <xf numFmtId="0" fontId="2" fillId="0" borderId="17" xfId="0" applyFont="1" applyFill="1" applyBorder="1"/>
    <xf numFmtId="0" fontId="2" fillId="0" borderId="22" xfId="0" applyFont="1" applyFill="1" applyBorder="1"/>
    <xf numFmtId="0" fontId="2" fillId="0" borderId="14" xfId="0" applyFont="1" applyFill="1" applyBorder="1" applyAlignment="1">
      <alignment horizontal="center"/>
    </xf>
    <xf numFmtId="0" fontId="2" fillId="0" borderId="23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1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0" fontId="2" fillId="0" borderId="14" xfId="0" applyFont="1" applyBorder="1"/>
    <xf numFmtId="0" fontId="2" fillId="0" borderId="0" xfId="0" applyFont="1" applyFill="1" applyBorder="1" applyAlignment="1">
      <alignment horizontal="justify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3" fillId="0" borderId="22" xfId="0" applyFont="1" applyBorder="1"/>
    <xf numFmtId="0" fontId="3" fillId="0" borderId="23" xfId="0" applyFont="1" applyBorder="1"/>
    <xf numFmtId="0" fontId="4" fillId="0" borderId="0" xfId="0" applyFont="1" applyBorder="1"/>
    <xf numFmtId="2" fontId="3" fillId="0" borderId="13" xfId="0" applyNumberFormat="1" applyFont="1" applyBorder="1" applyAlignment="1">
      <alignment horizontal="right"/>
    </xf>
    <xf numFmtId="0" fontId="16" fillId="0" borderId="0" xfId="0" applyFont="1" applyFill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12" fillId="0" borderId="0" xfId="0" applyFont="1" applyFill="1"/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2" fillId="0" borderId="21" xfId="0" applyFont="1" applyFill="1" applyBorder="1"/>
    <xf numFmtId="0" fontId="12" fillId="0" borderId="22" xfId="0" applyFont="1" applyFill="1" applyBorder="1"/>
    <xf numFmtId="0" fontId="12" fillId="0" borderId="14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4" xfId="0" applyFont="1" applyFill="1" applyBorder="1"/>
    <xf numFmtId="2" fontId="13" fillId="0" borderId="13" xfId="0" applyNumberFormat="1" applyFont="1" applyFill="1" applyBorder="1"/>
    <xf numFmtId="0" fontId="13" fillId="0" borderId="33" xfId="0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0" fontId="12" fillId="0" borderId="35" xfId="0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12" fillId="0" borderId="33" xfId="0" applyFont="1" applyFill="1" applyBorder="1" applyAlignment="1">
      <alignment horizontal="center"/>
    </xf>
    <xf numFmtId="2" fontId="12" fillId="0" borderId="0" xfId="0" applyNumberFormat="1" applyFont="1" applyFill="1" applyBorder="1"/>
    <xf numFmtId="0" fontId="13" fillId="0" borderId="0" xfId="0" applyFont="1" applyFill="1" applyBorder="1"/>
    <xf numFmtId="1" fontId="2" fillId="0" borderId="0" xfId="0" applyNumberFormat="1" applyFont="1" applyFill="1" applyBorder="1" applyAlignment="1">
      <alignment horizontal="left"/>
    </xf>
    <xf numFmtId="0" fontId="19" fillId="0" borderId="0" xfId="0" applyFont="1" applyFill="1"/>
    <xf numFmtId="0" fontId="16" fillId="0" borderId="1" xfId="0" applyFont="1" applyFill="1" applyBorder="1" applyAlignment="1">
      <alignment horizontal="right"/>
    </xf>
    <xf numFmtId="2" fontId="2" fillId="0" borderId="3" xfId="0" applyNumberFormat="1" applyFont="1" applyFill="1" applyBorder="1" applyAlignment="1">
      <alignment horizontal="right"/>
    </xf>
    <xf numFmtId="2" fontId="3" fillId="0" borderId="4" xfId="0" applyNumberFormat="1" applyFont="1" applyFill="1" applyBorder="1"/>
    <xf numFmtId="0" fontId="17" fillId="0" borderId="0" xfId="0" applyFont="1" applyFill="1"/>
    <xf numFmtId="9" fontId="2" fillId="0" borderId="2" xfId="0" applyNumberFormat="1" applyFont="1" applyFill="1" applyBorder="1"/>
    <xf numFmtId="0" fontId="2" fillId="0" borderId="10" xfId="0" applyFont="1" applyFill="1" applyBorder="1" applyAlignment="1">
      <alignment horizontal="right"/>
    </xf>
    <xf numFmtId="9" fontId="2" fillId="0" borderId="5" xfId="0" applyNumberFormat="1" applyFont="1" applyFill="1" applyBorder="1"/>
    <xf numFmtId="0" fontId="3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/>
    <xf numFmtId="2" fontId="2" fillId="0" borderId="31" xfId="0" applyNumberFormat="1" applyFont="1" applyFill="1" applyBorder="1"/>
    <xf numFmtId="2" fontId="3" fillId="0" borderId="31" xfId="0" applyNumberFormat="1" applyFont="1" applyFill="1" applyBorder="1" applyAlignment="1">
      <alignment horizontal="right"/>
    </xf>
    <xf numFmtId="2" fontId="2" fillId="0" borderId="31" xfId="0" applyNumberFormat="1" applyFont="1" applyFill="1" applyBorder="1" applyAlignment="1">
      <alignment horizontal="right"/>
    </xf>
    <xf numFmtId="0" fontId="2" fillId="0" borderId="32" xfId="0" applyFont="1" applyFill="1" applyBorder="1"/>
    <xf numFmtId="2" fontId="3" fillId="0" borderId="7" xfId="0" applyNumberFormat="1" applyFont="1" applyFill="1" applyBorder="1" applyAlignment="1">
      <alignment horizontal="right"/>
    </xf>
    <xf numFmtId="2" fontId="3" fillId="0" borderId="7" xfId="0" applyNumberFormat="1" applyFont="1" applyFill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7" fontId="2" fillId="0" borderId="0" xfId="0" applyNumberFormat="1" applyFont="1"/>
    <xf numFmtId="167" fontId="21" fillId="0" borderId="0" xfId="0" applyNumberFormat="1" applyFont="1"/>
    <xf numFmtId="2" fontId="21" fillId="0" borderId="0" xfId="0" applyNumberFormat="1" applyFont="1"/>
    <xf numFmtId="2" fontId="3" fillId="0" borderId="0" xfId="0" applyNumberFormat="1" applyFont="1"/>
    <xf numFmtId="2" fontId="11" fillId="0" borderId="0" xfId="0" applyNumberFormat="1" applyFont="1"/>
    <xf numFmtId="2" fontId="10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19" fillId="0" borderId="1" xfId="0" applyFont="1" applyFill="1" applyBorder="1" applyAlignment="1">
      <alignment horizontal="right"/>
    </xf>
    <xf numFmtId="9" fontId="19" fillId="0" borderId="2" xfId="0" applyNumberFormat="1" applyFont="1" applyFill="1" applyBorder="1" applyAlignment="1">
      <alignment horizontal="right"/>
    </xf>
    <xf numFmtId="2" fontId="19" fillId="0" borderId="2" xfId="0" applyNumberFormat="1" applyFont="1" applyFill="1" applyBorder="1" applyAlignment="1"/>
    <xf numFmtId="2" fontId="19" fillId="0" borderId="2" xfId="0" applyNumberFormat="1" applyFont="1" applyFill="1" applyBorder="1"/>
    <xf numFmtId="2" fontId="19" fillId="0" borderId="8" xfId="0" applyNumberFormat="1" applyFont="1" applyFill="1" applyBorder="1"/>
    <xf numFmtId="0" fontId="2" fillId="0" borderId="0" xfId="0" applyFont="1" applyBorder="1" applyAlignment="1">
      <alignment horizontal="center" vertical="center" wrapText="1"/>
    </xf>
    <xf numFmtId="2" fontId="2" fillId="0" borderId="13" xfId="0" applyNumberFormat="1" applyFont="1" applyFill="1" applyBorder="1"/>
    <xf numFmtId="2" fontId="2" fillId="0" borderId="35" xfId="0" applyNumberFormat="1" applyFont="1" applyFill="1" applyBorder="1" applyAlignment="1">
      <alignment horizontal="center"/>
    </xf>
    <xf numFmtId="2" fontId="3" fillId="0" borderId="33" xfId="0" applyNumberFormat="1" applyFont="1" applyFill="1" applyBorder="1"/>
    <xf numFmtId="0" fontId="2" fillId="0" borderId="34" xfId="0" applyFont="1" applyFill="1" applyBorder="1"/>
    <xf numFmtId="0" fontId="2" fillId="0" borderId="35" xfId="0" applyFont="1" applyFill="1" applyBorder="1"/>
    <xf numFmtId="2" fontId="2" fillId="0" borderId="35" xfId="0" applyNumberFormat="1" applyFont="1" applyFill="1" applyBorder="1"/>
    <xf numFmtId="0" fontId="2" fillId="0" borderId="35" xfId="0" applyFont="1" applyFill="1" applyBorder="1" applyAlignment="1">
      <alignment horizontal="center"/>
    </xf>
    <xf numFmtId="2" fontId="3" fillId="0" borderId="35" xfId="0" applyNumberFormat="1" applyFont="1" applyFill="1" applyBorder="1"/>
    <xf numFmtId="2" fontId="2" fillId="0" borderId="45" xfId="0" applyNumberFormat="1" applyFont="1" applyFill="1" applyBorder="1" applyAlignment="1">
      <alignment horizontal="center"/>
    </xf>
    <xf numFmtId="2" fontId="2" fillId="0" borderId="40" xfId="0" applyNumberFormat="1" applyFont="1" applyFill="1" applyBorder="1"/>
    <xf numFmtId="2" fontId="3" fillId="0" borderId="14" xfId="0" applyNumberFormat="1" applyFont="1" applyFill="1" applyBorder="1"/>
    <xf numFmtId="2" fontId="2" fillId="0" borderId="16" xfId="0" applyNumberFormat="1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left"/>
    </xf>
    <xf numFmtId="2" fontId="16" fillId="0" borderId="14" xfId="1" applyNumberFormat="1" applyFont="1" applyFill="1" applyBorder="1"/>
    <xf numFmtId="2" fontId="3" fillId="0" borderId="13" xfId="0" applyNumberFormat="1" applyFont="1" applyBorder="1"/>
    <xf numFmtId="0" fontId="2" fillId="0" borderId="45" xfId="0" applyFont="1" applyFill="1" applyBorder="1" applyAlignment="1">
      <alignment horizontal="center"/>
    </xf>
    <xf numFmtId="0" fontId="2" fillId="0" borderId="40" xfId="0" applyFont="1" applyFill="1" applyBorder="1"/>
    <xf numFmtId="0" fontId="2" fillId="0" borderId="16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2" fontId="3" fillId="0" borderId="33" xfId="0" applyNumberFormat="1" applyFont="1" applyBorder="1" applyAlignment="1">
      <alignment horizontal="right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2" fillId="0" borderId="10" xfId="0" applyNumberFormat="1" applyFont="1" applyBorder="1"/>
    <xf numFmtId="0" fontId="2" fillId="0" borderId="5" xfId="0" applyFont="1" applyBorder="1"/>
    <xf numFmtId="2" fontId="2" fillId="0" borderId="5" xfId="0" applyNumberFormat="1" applyFont="1" applyBorder="1"/>
    <xf numFmtId="2" fontId="2" fillId="0" borderId="11" xfId="0" applyNumberFormat="1" applyFont="1" applyBorder="1"/>
    <xf numFmtId="2" fontId="2" fillId="0" borderId="6" xfId="0" applyNumberFormat="1" applyFont="1" applyBorder="1"/>
    <xf numFmtId="0" fontId="2" fillId="0" borderId="3" xfId="0" applyFont="1" applyBorder="1"/>
    <xf numFmtId="2" fontId="2" fillId="0" borderId="3" xfId="0" applyNumberFormat="1" applyFont="1" applyBorder="1"/>
    <xf numFmtId="2" fontId="2" fillId="0" borderId="7" xfId="0" applyNumberFormat="1" applyFont="1" applyBorder="1"/>
    <xf numFmtId="0" fontId="2" fillId="0" borderId="36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34" xfId="0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168" fontId="2" fillId="0" borderId="0" xfId="0" applyNumberFormat="1" applyFont="1" applyFill="1" applyBorder="1"/>
    <xf numFmtId="0" fontId="2" fillId="0" borderId="2" xfId="0" applyFont="1" applyFill="1" applyBorder="1"/>
    <xf numFmtId="2" fontId="3" fillId="0" borderId="0" xfId="0" applyNumberFormat="1" applyFont="1" applyFill="1" applyBorder="1" applyAlignment="1">
      <alignment horizontal="center"/>
    </xf>
    <xf numFmtId="1" fontId="2" fillId="0" borderId="0" xfId="0" applyNumberFormat="1" applyFont="1"/>
    <xf numFmtId="2" fontId="17" fillId="0" borderId="2" xfId="0" applyNumberFormat="1" applyFont="1" applyFill="1" applyBorder="1"/>
    <xf numFmtId="0" fontId="25" fillId="0" borderId="1" xfId="0" applyFont="1" applyFill="1" applyBorder="1" applyAlignment="1">
      <alignment horizontal="right"/>
    </xf>
    <xf numFmtId="9" fontId="17" fillId="0" borderId="2" xfId="0" applyNumberFormat="1" applyFont="1" applyFill="1" applyBorder="1" applyAlignment="1">
      <alignment horizontal="right"/>
    </xf>
    <xf numFmtId="2" fontId="17" fillId="0" borderId="2" xfId="0" applyNumberFormat="1" applyFont="1" applyFill="1" applyBorder="1" applyAlignment="1">
      <alignment horizontal="right"/>
    </xf>
    <xf numFmtId="2" fontId="17" fillId="0" borderId="2" xfId="0" applyNumberFormat="1" applyFont="1" applyFill="1" applyBorder="1" applyAlignment="1"/>
    <xf numFmtId="2" fontId="17" fillId="0" borderId="8" xfId="0" applyNumberFormat="1" applyFont="1" applyFill="1" applyBorder="1"/>
    <xf numFmtId="2" fontId="17" fillId="0" borderId="0" xfId="0" applyNumberFormat="1" applyFont="1" applyFill="1"/>
    <xf numFmtId="0" fontId="17" fillId="0" borderId="1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right"/>
    </xf>
    <xf numFmtId="0" fontId="17" fillId="0" borderId="2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26" fillId="0" borderId="0" xfId="0" applyFont="1"/>
    <xf numFmtId="0" fontId="27" fillId="0" borderId="0" xfId="0" applyFont="1"/>
    <xf numFmtId="2" fontId="26" fillId="0" borderId="0" xfId="0" applyNumberFormat="1" applyFont="1"/>
    <xf numFmtId="0" fontId="27" fillId="0" borderId="0" xfId="0" applyFont="1" applyAlignment="1">
      <alignment horizontal="center"/>
    </xf>
    <xf numFmtId="2" fontId="27" fillId="0" borderId="0" xfId="0" applyNumberFormat="1" applyFont="1"/>
    <xf numFmtId="2" fontId="2" fillId="0" borderId="17" xfId="0" applyNumberFormat="1" applyFont="1" applyFill="1" applyBorder="1" applyAlignment="1">
      <alignment horizontal="right"/>
    </xf>
    <xf numFmtId="0" fontId="3" fillId="0" borderId="20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17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/>
    </xf>
    <xf numFmtId="0" fontId="2" fillId="0" borderId="14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justify" vertical="top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wrapText="1"/>
    </xf>
    <xf numFmtId="0" fontId="3" fillId="0" borderId="13" xfId="0" applyFont="1" applyBorder="1"/>
    <xf numFmtId="2" fontId="2" fillId="0" borderId="40" xfId="0" applyNumberFormat="1" applyFont="1" applyBorder="1"/>
    <xf numFmtId="0" fontId="2" fillId="0" borderId="47" xfId="0" applyFont="1" applyBorder="1" applyAlignment="1">
      <alignment horizontal="center"/>
    </xf>
    <xf numFmtId="0" fontId="3" fillId="0" borderId="17" xfId="0" applyFont="1" applyFill="1" applyBorder="1"/>
    <xf numFmtId="0" fontId="2" fillId="0" borderId="16" xfId="0" applyFont="1" applyFill="1" applyBorder="1"/>
    <xf numFmtId="164" fontId="12" fillId="0" borderId="34" xfId="1" applyFont="1" applyFill="1" applyBorder="1" applyAlignment="1">
      <alignment horizontal="center"/>
    </xf>
    <xf numFmtId="0" fontId="12" fillId="0" borderId="35" xfId="0" applyFont="1" applyFill="1" applyBorder="1"/>
    <xf numFmtId="0" fontId="3" fillId="0" borderId="14" xfId="0" applyFont="1" applyFill="1" applyBorder="1"/>
    <xf numFmtId="0" fontId="3" fillId="0" borderId="13" xfId="0" applyFont="1" applyFill="1" applyBorder="1"/>
    <xf numFmtId="0" fontId="3" fillId="0" borderId="19" xfId="0" applyFont="1" applyFill="1" applyBorder="1"/>
    <xf numFmtId="0" fontId="2" fillId="0" borderId="35" xfId="0" applyFont="1" applyBorder="1"/>
    <xf numFmtId="0" fontId="2" fillId="0" borderId="36" xfId="0" applyFont="1" applyBorder="1"/>
    <xf numFmtId="0" fontId="2" fillId="0" borderId="33" xfId="0" applyFont="1" applyBorder="1" applyAlignment="1">
      <alignment horizontal="center"/>
    </xf>
    <xf numFmtId="164" fontId="2" fillId="0" borderId="14" xfId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right"/>
    </xf>
    <xf numFmtId="2" fontId="2" fillId="0" borderId="40" xfId="0" applyNumberFormat="1" applyFont="1" applyFill="1" applyBorder="1" applyAlignment="1">
      <alignment horizontal="right"/>
    </xf>
    <xf numFmtId="0" fontId="2" fillId="0" borderId="49" xfId="0" applyFont="1" applyFill="1" applyBorder="1"/>
    <xf numFmtId="0" fontId="2" fillId="0" borderId="0" xfId="0" applyFont="1" applyAlignment="1"/>
    <xf numFmtId="0" fontId="2" fillId="0" borderId="13" xfId="0" applyFont="1" applyFill="1" applyBorder="1"/>
    <xf numFmtId="0" fontId="2" fillId="0" borderId="47" xfId="0" applyFont="1" applyFill="1" applyBorder="1"/>
    <xf numFmtId="0" fontId="2" fillId="0" borderId="21" xfId="0" applyFont="1" applyFill="1" applyBorder="1" applyAlignment="1">
      <alignment horizontal="justify"/>
    </xf>
    <xf numFmtId="0" fontId="2" fillId="0" borderId="22" xfId="0" applyFont="1" applyFill="1" applyBorder="1" applyAlignment="1">
      <alignment horizontal="justify"/>
    </xf>
    <xf numFmtId="0" fontId="2" fillId="0" borderId="22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justify"/>
    </xf>
    <xf numFmtId="0" fontId="3" fillId="0" borderId="21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3" fillId="0" borderId="21" xfId="0" applyFont="1" applyFill="1" applyBorder="1"/>
    <xf numFmtId="0" fontId="3" fillId="0" borderId="22" xfId="0" applyFont="1" applyFill="1" applyBorder="1"/>
    <xf numFmtId="0" fontId="2" fillId="0" borderId="25" xfId="0" applyFont="1" applyFill="1" applyBorder="1"/>
    <xf numFmtId="0" fontId="3" fillId="0" borderId="20" xfId="0" applyFont="1" applyBorder="1" applyAlignment="1">
      <alignment horizontal="center" vertical="top" wrapText="1"/>
    </xf>
    <xf numFmtId="2" fontId="2" fillId="0" borderId="22" xfId="1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1" fillId="0" borderId="12" xfId="0" applyFont="1" applyBorder="1" applyAlignment="1">
      <alignment horizontal="center"/>
    </xf>
    <xf numFmtId="2" fontId="21" fillId="0" borderId="26" xfId="0" applyNumberFormat="1" applyFont="1" applyBorder="1" applyAlignment="1">
      <alignment horizontal="center"/>
    </xf>
    <xf numFmtId="2" fontId="21" fillId="0" borderId="27" xfId="0" applyNumberFormat="1" applyFont="1" applyBorder="1" applyAlignment="1">
      <alignment horizontal="center"/>
    </xf>
    <xf numFmtId="0" fontId="2" fillId="0" borderId="2" xfId="0" applyFont="1" applyBorder="1"/>
    <xf numFmtId="2" fontId="2" fillId="0" borderId="2" xfId="0" applyNumberFormat="1" applyFont="1" applyBorder="1"/>
    <xf numFmtId="0" fontId="2" fillId="0" borderId="9" xfId="0" applyFont="1" applyBorder="1"/>
    <xf numFmtId="2" fontId="2" fillId="0" borderId="9" xfId="0" applyNumberFormat="1" applyFont="1" applyBorder="1"/>
    <xf numFmtId="2" fontId="3" fillId="0" borderId="26" xfId="0" applyNumberFormat="1" applyFont="1" applyBorder="1"/>
    <xf numFmtId="2" fontId="3" fillId="0" borderId="27" xfId="0" applyNumberFormat="1" applyFont="1" applyBorder="1"/>
    <xf numFmtId="0" fontId="21" fillId="0" borderId="37" xfId="0" applyFont="1" applyBorder="1" applyAlignment="1">
      <alignment horizontal="center"/>
    </xf>
    <xf numFmtId="2" fontId="21" fillId="0" borderId="38" xfId="0" applyNumberFormat="1" applyFont="1" applyBorder="1" applyAlignment="1">
      <alignment horizontal="center"/>
    </xf>
    <xf numFmtId="2" fontId="21" fillId="0" borderId="39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8" xfId="0" applyNumberFormat="1" applyFont="1" applyBorder="1"/>
    <xf numFmtId="0" fontId="2" fillId="0" borderId="10" xfId="0" applyFont="1" applyBorder="1"/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horizontal="center" vertical="top" wrapText="1"/>
    </xf>
    <xf numFmtId="0" fontId="2" fillId="0" borderId="48" xfId="0" applyFont="1" applyFill="1" applyBorder="1"/>
    <xf numFmtId="0" fontId="2" fillId="0" borderId="49" xfId="0" applyFont="1" applyFill="1" applyBorder="1" applyAlignment="1">
      <alignment horizontal="left"/>
    </xf>
    <xf numFmtId="0" fontId="2" fillId="0" borderId="53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center"/>
    </xf>
    <xf numFmtId="2" fontId="12" fillId="0" borderId="0" xfId="0" applyNumberFormat="1" applyFont="1" applyFill="1"/>
    <xf numFmtId="0" fontId="2" fillId="0" borderId="0" xfId="0" applyFont="1" applyBorder="1" applyAlignment="1">
      <alignment horizontal="center"/>
    </xf>
    <xf numFmtId="0" fontId="3" fillId="0" borderId="16" xfId="0" applyFont="1" applyBorder="1" applyAlignment="1">
      <alignment horizontal="justify" vertical="top"/>
    </xf>
    <xf numFmtId="0" fontId="3" fillId="0" borderId="51" xfId="0" applyFont="1" applyBorder="1" applyAlignment="1">
      <alignment horizontal="center" vertical="top"/>
    </xf>
    <xf numFmtId="0" fontId="2" fillId="0" borderId="48" xfId="0" applyFont="1" applyBorder="1"/>
    <xf numFmtId="0" fontId="3" fillId="0" borderId="49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2" fillId="0" borderId="56" xfId="0" applyFont="1" applyBorder="1" applyAlignment="1">
      <alignment horizontal="center" vertical="top" wrapText="1"/>
    </xf>
    <xf numFmtId="0" fontId="2" fillId="0" borderId="17" xfId="0" applyFont="1" applyBorder="1" applyAlignment="1">
      <alignment vertical="top" wrapText="1"/>
    </xf>
    <xf numFmtId="2" fontId="2" fillId="0" borderId="17" xfId="0" applyNumberFormat="1" applyFont="1" applyBorder="1" applyAlignment="1">
      <alignment horizontal="right" vertical="top"/>
    </xf>
    <xf numFmtId="2" fontId="2" fillId="0" borderId="22" xfId="0" applyNumberFormat="1" applyFont="1" applyFill="1" applyBorder="1" applyAlignment="1">
      <alignment horizontal="center"/>
    </xf>
    <xf numFmtId="2" fontId="2" fillId="0" borderId="22" xfId="0" applyNumberFormat="1" applyFont="1" applyBorder="1"/>
    <xf numFmtId="0" fontId="29" fillId="0" borderId="22" xfId="0" applyFont="1" applyBorder="1"/>
    <xf numFmtId="2" fontId="2" fillId="0" borderId="16" xfId="0" applyNumberFormat="1" applyFont="1" applyBorder="1" applyAlignment="1">
      <alignment horizontal="center"/>
    </xf>
    <xf numFmtId="0" fontId="3" fillId="0" borderId="0" xfId="0" applyFont="1" applyBorder="1" applyAlignment="1">
      <alignment horizontal="justify" vertical="top" wrapText="1"/>
    </xf>
    <xf numFmtId="0" fontId="3" fillId="0" borderId="40" xfId="0" applyFont="1" applyBorder="1" applyAlignment="1">
      <alignment horizontal="justify" vertical="top"/>
    </xf>
    <xf numFmtId="0" fontId="3" fillId="0" borderId="50" xfId="0" applyFont="1" applyBorder="1" applyAlignment="1">
      <alignment horizontal="center" vertical="top" wrapText="1"/>
    </xf>
    <xf numFmtId="2" fontId="2" fillId="0" borderId="40" xfId="0" applyNumberFormat="1" applyFont="1" applyBorder="1" applyAlignment="1">
      <alignment horizontal="center"/>
    </xf>
    <xf numFmtId="164" fontId="2" fillId="0" borderId="14" xfId="1" applyFont="1" applyBorder="1" applyAlignment="1">
      <alignment horizontal="center" vertical="center"/>
    </xf>
    <xf numFmtId="0" fontId="8" fillId="0" borderId="19" xfId="0" applyFont="1" applyBorder="1"/>
    <xf numFmtId="2" fontId="2" fillId="0" borderId="17" xfId="0" applyNumberFormat="1" applyFont="1" applyBorder="1"/>
    <xf numFmtId="0" fontId="2" fillId="0" borderId="14" xfId="0" applyFont="1" applyBorder="1" applyAlignment="1">
      <alignment horizontal="center" vertical="center"/>
    </xf>
    <xf numFmtId="43" fontId="2" fillId="0" borderId="14" xfId="0" applyNumberFormat="1" applyFont="1" applyBorder="1" applyAlignment="1">
      <alignment horizontal="center"/>
    </xf>
    <xf numFmtId="0" fontId="3" fillId="0" borderId="46" xfId="0" applyFont="1" applyBorder="1"/>
    <xf numFmtId="2" fontId="3" fillId="0" borderId="40" xfId="0" applyNumberFormat="1" applyFont="1" applyBorder="1"/>
    <xf numFmtId="0" fontId="3" fillId="0" borderId="4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50" xfId="0" applyFont="1" applyFill="1" applyBorder="1" applyAlignment="1">
      <alignment horizontal="left"/>
    </xf>
    <xf numFmtId="0" fontId="2" fillId="0" borderId="56" xfId="0" applyFont="1" applyFill="1" applyBorder="1"/>
    <xf numFmtId="0" fontId="3" fillId="0" borderId="51" xfId="0" applyFont="1" applyFill="1" applyBorder="1" applyAlignment="1">
      <alignment horizontal="center"/>
    </xf>
    <xf numFmtId="2" fontId="2" fillId="0" borderId="22" xfId="0" applyNumberFormat="1" applyFont="1" applyFill="1" applyBorder="1"/>
    <xf numFmtId="2" fontId="2" fillId="0" borderId="23" xfId="0" applyNumberFormat="1" applyFont="1" applyFill="1" applyBorder="1"/>
    <xf numFmtId="0" fontId="12" fillId="0" borderId="46" xfId="0" applyFont="1" applyFill="1" applyBorder="1"/>
    <xf numFmtId="0" fontId="2" fillId="0" borderId="23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justify"/>
    </xf>
    <xf numFmtId="2" fontId="2" fillId="0" borderId="47" xfId="0" applyNumberFormat="1" applyFont="1" applyFill="1" applyBorder="1"/>
    <xf numFmtId="2" fontId="2" fillId="0" borderId="36" xfId="0" applyNumberFormat="1" applyFont="1" applyFill="1" applyBorder="1" applyAlignment="1">
      <alignment horizontal="center"/>
    </xf>
    <xf numFmtId="0" fontId="3" fillId="0" borderId="46" xfId="0" applyFont="1" applyFill="1" applyBorder="1" applyAlignment="1">
      <alignment horizontal="justify"/>
    </xf>
    <xf numFmtId="0" fontId="2" fillId="0" borderId="47" xfId="0" applyFont="1" applyFill="1" applyBorder="1" applyAlignment="1">
      <alignment horizontal="center"/>
    </xf>
    <xf numFmtId="2" fontId="2" fillId="0" borderId="40" xfId="0" applyNumberFormat="1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2" fontId="3" fillId="0" borderId="60" xfId="0" applyNumberFormat="1" applyFont="1" applyFill="1" applyBorder="1" applyAlignment="1">
      <alignment horizontal="right"/>
    </xf>
    <xf numFmtId="0" fontId="2" fillId="0" borderId="21" xfId="0" applyFont="1" applyFill="1" applyBorder="1" applyAlignment="1">
      <alignment horizontal="center"/>
    </xf>
    <xf numFmtId="2" fontId="2" fillId="0" borderId="23" xfId="1" applyNumberFormat="1" applyFont="1" applyFill="1" applyBorder="1" applyAlignment="1">
      <alignment horizontal="center"/>
    </xf>
    <xf numFmtId="2" fontId="3" fillId="0" borderId="20" xfId="0" applyNumberFormat="1" applyFont="1" applyFill="1" applyBorder="1" applyAlignment="1">
      <alignment horizontal="right"/>
    </xf>
    <xf numFmtId="2" fontId="2" fillId="0" borderId="34" xfId="0" applyNumberFormat="1" applyFont="1" applyFill="1" applyBorder="1" applyAlignment="1">
      <alignment horizontal="center"/>
    </xf>
    <xf numFmtId="2" fontId="2" fillId="0" borderId="51" xfId="0" applyNumberFormat="1" applyFont="1" applyBorder="1"/>
    <xf numFmtId="0" fontId="2" fillId="0" borderId="51" xfId="0" applyFont="1" applyBorder="1"/>
    <xf numFmtId="0" fontId="2" fillId="0" borderId="14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2" fontId="2" fillId="0" borderId="31" xfId="0" applyNumberFormat="1" applyFont="1" applyBorder="1"/>
    <xf numFmtId="0" fontId="3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2" fillId="0" borderId="3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" fontId="2" fillId="0" borderId="31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10" xfId="0" applyFont="1" applyBorder="1" applyAlignment="1">
      <alignment wrapText="1"/>
    </xf>
    <xf numFmtId="2" fontId="2" fillId="0" borderId="32" xfId="0" applyNumberFormat="1" applyFont="1" applyBorder="1"/>
    <xf numFmtId="0" fontId="2" fillId="0" borderId="29" xfId="0" applyFont="1" applyBorder="1" applyAlignment="1">
      <alignment horizontal="left" vertical="center" wrapText="1"/>
    </xf>
    <xf numFmtId="0" fontId="2" fillId="0" borderId="31" xfId="0" applyFont="1" applyBorder="1"/>
    <xf numFmtId="0" fontId="3" fillId="0" borderId="26" xfId="0" applyFont="1" applyBorder="1" applyAlignment="1">
      <alignment horizontal="center" vertical="top" wrapText="1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wrapText="1"/>
    </xf>
    <xf numFmtId="2" fontId="2" fillId="0" borderId="31" xfId="0" applyNumberFormat="1" applyFont="1" applyBorder="1" applyAlignment="1">
      <alignment horizontal="right"/>
    </xf>
    <xf numFmtId="2" fontId="16" fillId="0" borderId="0" xfId="1" applyNumberFormat="1" applyFont="1" applyBorder="1" applyAlignment="1">
      <alignment horizontal="right"/>
    </xf>
    <xf numFmtId="0" fontId="2" fillId="0" borderId="24" xfId="0" applyFont="1" applyFill="1" applyBorder="1" applyAlignment="1">
      <alignment horizontal="left"/>
    </xf>
    <xf numFmtId="2" fontId="2" fillId="0" borderId="2" xfId="0" applyNumberFormat="1" applyFont="1" applyFill="1" applyBorder="1" applyAlignment="1">
      <alignment horizontal="right"/>
    </xf>
    <xf numFmtId="9" fontId="2" fillId="0" borderId="0" xfId="0" applyNumberFormat="1" applyFont="1" applyFill="1"/>
    <xf numFmtId="2" fontId="2" fillId="0" borderId="8" xfId="0" applyNumberFormat="1" applyFont="1" applyFill="1" applyBorder="1" applyAlignment="1">
      <alignment horizontal="right"/>
    </xf>
    <xf numFmtId="2" fontId="2" fillId="0" borderId="8" xfId="0" applyNumberFormat="1" applyFont="1" applyFill="1" applyBorder="1" applyAlignment="1">
      <alignment horizontal="left"/>
    </xf>
    <xf numFmtId="0" fontId="3" fillId="0" borderId="42" xfId="0" applyFont="1" applyFill="1" applyBorder="1" applyAlignment="1">
      <alignment horizontal="center"/>
    </xf>
    <xf numFmtId="2" fontId="3" fillId="0" borderId="43" xfId="0" applyNumberFormat="1" applyFont="1" applyFill="1" applyBorder="1"/>
    <xf numFmtId="2" fontId="2" fillId="0" borderId="25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2" fillId="0" borderId="52" xfId="0" applyNumberFormat="1" applyFont="1" applyFill="1" applyBorder="1"/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right"/>
    </xf>
    <xf numFmtId="0" fontId="13" fillId="0" borderId="62" xfId="0" applyFont="1" applyFill="1" applyBorder="1" applyAlignment="1">
      <alignment horizontal="center"/>
    </xf>
    <xf numFmtId="2" fontId="2" fillId="0" borderId="63" xfId="0" applyNumberFormat="1" applyFont="1" applyFill="1" applyBorder="1"/>
    <xf numFmtId="0" fontId="3" fillId="0" borderId="0" xfId="0" applyFont="1" applyBorder="1" applyAlignment="1">
      <alignment horizontal="right"/>
    </xf>
    <xf numFmtId="2" fontId="2" fillId="0" borderId="49" xfId="0" applyNumberFormat="1" applyFont="1" applyFill="1" applyBorder="1"/>
    <xf numFmtId="0" fontId="3" fillId="0" borderId="40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2" fontId="3" fillId="0" borderId="40" xfId="0" applyNumberFormat="1" applyFont="1" applyFill="1" applyBorder="1"/>
    <xf numFmtId="2" fontId="2" fillId="0" borderId="49" xfId="0" applyNumberFormat="1" applyFont="1" applyFill="1" applyBorder="1" applyAlignment="1">
      <alignment horizontal="right"/>
    </xf>
    <xf numFmtId="2" fontId="2" fillId="0" borderId="49" xfId="0" applyNumberFormat="1" applyFont="1" applyFill="1" applyBorder="1" applyAlignment="1"/>
    <xf numFmtId="2" fontId="3" fillId="0" borderId="14" xfId="0" applyNumberFormat="1" applyFont="1" applyFill="1" applyBorder="1" applyAlignment="1">
      <alignment horizontal="right"/>
    </xf>
    <xf numFmtId="2" fontId="3" fillId="0" borderId="40" xfId="0" applyNumberFormat="1" applyFont="1" applyFill="1" applyBorder="1" applyAlignment="1">
      <alignment horizontal="right"/>
    </xf>
    <xf numFmtId="2" fontId="2" fillId="0" borderId="14" xfId="0" applyNumberFormat="1" applyFont="1" applyFill="1" applyBorder="1" applyAlignment="1">
      <alignment horizontal="left"/>
    </xf>
    <xf numFmtId="2" fontId="2" fillId="0" borderId="16" xfId="0" applyNumberFormat="1" applyFont="1" applyFill="1" applyBorder="1" applyAlignment="1">
      <alignment horizontal="left"/>
    </xf>
    <xf numFmtId="2" fontId="2" fillId="0" borderId="40" xfId="0" applyNumberFormat="1" applyFont="1" applyFill="1" applyBorder="1" applyAlignment="1">
      <alignment horizontal="left"/>
    </xf>
    <xf numFmtId="2" fontId="3" fillId="0" borderId="14" xfId="0" applyNumberFormat="1" applyFont="1" applyFill="1" applyBorder="1" applyAlignment="1">
      <alignment horizontal="left"/>
    </xf>
    <xf numFmtId="0" fontId="3" fillId="0" borderId="57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2" fillId="0" borderId="63" xfId="0" applyFont="1" applyFill="1" applyBorder="1"/>
    <xf numFmtId="2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>
      <alignment horizontal="center"/>
    </xf>
    <xf numFmtId="0" fontId="2" fillId="0" borderId="15" xfId="0" applyFont="1" applyFill="1" applyBorder="1"/>
    <xf numFmtId="0" fontId="2" fillId="0" borderId="28" xfId="0" applyFont="1" applyFill="1" applyBorder="1"/>
    <xf numFmtId="2" fontId="3" fillId="0" borderId="13" xfId="0" applyNumberFormat="1" applyFont="1" applyFill="1" applyBorder="1" applyAlignment="1">
      <alignment horizontal="center"/>
    </xf>
    <xf numFmtId="2" fontId="2" fillId="0" borderId="20" xfId="0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horizontal="center"/>
    </xf>
    <xf numFmtId="2" fontId="4" fillId="0" borderId="20" xfId="0" applyNumberFormat="1" applyFont="1" applyFill="1" applyBorder="1"/>
    <xf numFmtId="2" fontId="4" fillId="0" borderId="33" xfId="0" applyNumberFormat="1" applyFont="1" applyFill="1" applyBorder="1"/>
    <xf numFmtId="0" fontId="2" fillId="0" borderId="24" xfId="0" applyFont="1" applyFill="1" applyBorder="1"/>
    <xf numFmtId="0" fontId="2" fillId="0" borderId="36" xfId="0" applyFont="1" applyFill="1" applyBorder="1"/>
    <xf numFmtId="0" fontId="4" fillId="0" borderId="33" xfId="0" applyFont="1" applyFill="1" applyBorder="1" applyAlignment="1">
      <alignment horizontal="center"/>
    </xf>
    <xf numFmtId="0" fontId="12" fillId="0" borderId="0" xfId="0" applyFont="1" applyFill="1" applyBorder="1" applyAlignment="1"/>
    <xf numFmtId="164" fontId="2" fillId="0" borderId="47" xfId="1" applyFont="1" applyFill="1" applyBorder="1" applyAlignment="1">
      <alignment horizontal="center"/>
    </xf>
    <xf numFmtId="164" fontId="2" fillId="0" borderId="34" xfId="1" applyFont="1" applyFill="1" applyBorder="1" applyAlignment="1">
      <alignment horizontal="center"/>
    </xf>
    <xf numFmtId="164" fontId="2" fillId="0" borderId="64" xfId="1" applyFont="1" applyFill="1" applyBorder="1" applyAlignment="1">
      <alignment horizontal="center"/>
    </xf>
    <xf numFmtId="2" fontId="2" fillId="0" borderId="45" xfId="0" applyNumberFormat="1" applyFont="1" applyFill="1" applyBorder="1"/>
    <xf numFmtId="2" fontId="2" fillId="0" borderId="34" xfId="0" applyNumberFormat="1" applyFont="1" applyFill="1" applyBorder="1"/>
    <xf numFmtId="2" fontId="2" fillId="0" borderId="65" xfId="0" applyNumberFormat="1" applyFont="1" applyFill="1" applyBorder="1"/>
    <xf numFmtId="164" fontId="2" fillId="0" borderId="35" xfId="1" applyFont="1" applyFill="1" applyBorder="1" applyAlignment="1">
      <alignment horizontal="center"/>
    </xf>
    <xf numFmtId="0" fontId="2" fillId="0" borderId="46" xfId="0" applyFont="1" applyFill="1" applyBorder="1"/>
    <xf numFmtId="2" fontId="2" fillId="0" borderId="36" xfId="0" applyNumberFormat="1" applyFont="1" applyFill="1" applyBorder="1"/>
    <xf numFmtId="0" fontId="12" fillId="0" borderId="22" xfId="0" applyFont="1" applyFill="1" applyBorder="1" applyAlignment="1">
      <alignment horizontal="left"/>
    </xf>
    <xf numFmtId="0" fontId="12" fillId="0" borderId="25" xfId="0" applyFont="1" applyFill="1" applyBorder="1"/>
    <xf numFmtId="0" fontId="2" fillId="0" borderId="45" xfId="0" applyFont="1" applyFill="1" applyBorder="1"/>
    <xf numFmtId="2" fontId="2" fillId="0" borderId="43" xfId="0" applyNumberFormat="1" applyFont="1" applyFill="1" applyBorder="1"/>
    <xf numFmtId="2" fontId="2" fillId="0" borderId="35" xfId="0" applyNumberFormat="1" applyFont="1" applyFill="1" applyBorder="1" applyAlignment="1">
      <alignment horizontal="right"/>
    </xf>
    <xf numFmtId="0" fontId="2" fillId="0" borderId="46" xfId="0" applyFont="1" applyFill="1" applyBorder="1" applyAlignment="1">
      <alignment horizontal="left"/>
    </xf>
    <xf numFmtId="0" fontId="3" fillId="0" borderId="35" xfId="0" applyFont="1" applyFill="1" applyBorder="1"/>
    <xf numFmtId="164" fontId="12" fillId="0" borderId="40" xfId="1" applyFont="1" applyFill="1" applyBorder="1" applyAlignment="1">
      <alignment horizontal="center"/>
    </xf>
    <xf numFmtId="2" fontId="2" fillId="0" borderId="50" xfId="0" applyNumberFormat="1" applyFont="1" applyFill="1" applyBorder="1"/>
    <xf numFmtId="0" fontId="2" fillId="0" borderId="46" xfId="0" applyFont="1" applyFill="1" applyBorder="1" applyAlignment="1">
      <alignment horizontal="justify"/>
    </xf>
    <xf numFmtId="4" fontId="2" fillId="0" borderId="22" xfId="0" applyNumberFormat="1" applyFont="1" applyFill="1" applyBorder="1" applyAlignment="1">
      <alignment horizontal="left"/>
    </xf>
    <xf numFmtId="2" fontId="3" fillId="0" borderId="43" xfId="0" applyNumberFormat="1" applyFont="1" applyBorder="1" applyAlignment="1">
      <alignment horizontal="right"/>
    </xf>
    <xf numFmtId="0" fontId="2" fillId="0" borderId="40" xfId="0" applyFont="1" applyBorder="1"/>
    <xf numFmtId="0" fontId="3" fillId="0" borderId="46" xfId="0" applyFont="1" applyFill="1" applyBorder="1" applyAlignment="1">
      <alignment horizontal="left"/>
    </xf>
    <xf numFmtId="2" fontId="2" fillId="0" borderId="35" xfId="0" applyNumberFormat="1" applyFont="1" applyFill="1" applyBorder="1" applyAlignment="1">
      <alignment horizontal="left"/>
    </xf>
    <xf numFmtId="2" fontId="4" fillId="0" borderId="43" xfId="0" applyNumberFormat="1" applyFont="1" applyFill="1" applyBorder="1"/>
    <xf numFmtId="0" fontId="2" fillId="0" borderId="44" xfId="0" applyFont="1" applyFill="1" applyBorder="1" applyAlignment="1">
      <alignment horizontal="left"/>
    </xf>
    <xf numFmtId="0" fontId="3" fillId="0" borderId="49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2" fontId="3" fillId="0" borderId="42" xfId="0" applyNumberFormat="1" applyFont="1" applyFill="1" applyBorder="1" applyAlignment="1">
      <alignment horizontal="center"/>
    </xf>
    <xf numFmtId="2" fontId="3" fillId="0" borderId="47" xfId="0" applyNumberFormat="1" applyFont="1" applyFill="1" applyBorder="1"/>
    <xf numFmtId="2" fontId="3" fillId="0" borderId="62" xfId="0" applyNumberFormat="1" applyFont="1" applyFill="1" applyBorder="1" applyAlignment="1">
      <alignment horizontal="center"/>
    </xf>
    <xf numFmtId="2" fontId="2" fillId="0" borderId="19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/>
    <xf numFmtId="2" fontId="2" fillId="2" borderId="2" xfId="0" applyNumberFormat="1" applyFont="1" applyFill="1" applyBorder="1" applyAlignment="1">
      <alignment horizontal="right"/>
    </xf>
    <xf numFmtId="2" fontId="17" fillId="2" borderId="2" xfId="0" applyNumberFormat="1" applyFont="1" applyFill="1" applyBorder="1" applyAlignment="1"/>
    <xf numFmtId="0" fontId="32" fillId="0" borderId="0" xfId="0" applyFont="1" applyFill="1"/>
    <xf numFmtId="2" fontId="2" fillId="0" borderId="19" xfId="0" applyNumberFormat="1" applyFont="1" applyFill="1" applyBorder="1" applyAlignment="1">
      <alignment horizontal="right"/>
    </xf>
    <xf numFmtId="0" fontId="2" fillId="0" borderId="56" xfId="0" applyFont="1" applyFill="1" applyBorder="1" applyAlignment="1">
      <alignment horizontal="left"/>
    </xf>
    <xf numFmtId="0" fontId="2" fillId="0" borderId="55" xfId="0" applyFont="1" applyFill="1" applyBorder="1"/>
    <xf numFmtId="2" fontId="4" fillId="0" borderId="19" xfId="0" applyNumberFormat="1" applyFont="1" applyFill="1" applyBorder="1" applyAlignment="1">
      <alignment horizontal="center"/>
    </xf>
    <xf numFmtId="2" fontId="2" fillId="0" borderId="56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center" wrapText="1"/>
    </xf>
    <xf numFmtId="2" fontId="13" fillId="0" borderId="13" xfId="0" applyNumberFormat="1" applyFont="1" applyFill="1" applyBorder="1" applyAlignment="1">
      <alignment horizontal="center"/>
    </xf>
    <xf numFmtId="2" fontId="12" fillId="0" borderId="17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3" fillId="0" borderId="42" xfId="0" applyNumberFormat="1" applyFont="1" applyFill="1" applyBorder="1" applyAlignment="1">
      <alignment horizontal="center"/>
    </xf>
    <xf numFmtId="2" fontId="2" fillId="0" borderId="21" xfId="0" applyNumberFormat="1" applyFont="1" applyFill="1" applyBorder="1"/>
    <xf numFmtId="2" fontId="2" fillId="0" borderId="22" xfId="0" applyNumberFormat="1" applyFont="1" applyFill="1" applyBorder="1" applyAlignment="1">
      <alignment horizontal="right"/>
    </xf>
    <xf numFmtId="2" fontId="2" fillId="0" borderId="14" xfId="1" applyNumberFormat="1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2" fontId="2" fillId="2" borderId="2" xfId="0" applyNumberFormat="1" applyFont="1" applyFill="1" applyBorder="1"/>
    <xf numFmtId="2" fontId="2" fillId="2" borderId="8" xfId="0" applyNumberFormat="1" applyFont="1" applyFill="1" applyBorder="1"/>
    <xf numFmtId="2" fontId="17" fillId="2" borderId="0" xfId="0" applyNumberFormat="1" applyFont="1" applyFill="1"/>
    <xf numFmtId="0" fontId="2" fillId="2" borderId="0" xfId="0" applyFont="1" applyFill="1"/>
    <xf numFmtId="2" fontId="20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right"/>
    </xf>
    <xf numFmtId="0" fontId="3" fillId="0" borderId="5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167" fontId="2" fillId="0" borderId="22" xfId="1" applyNumberFormat="1" applyFont="1" applyBorder="1"/>
    <xf numFmtId="0" fontId="2" fillId="0" borderId="14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/>
    <xf numFmtId="0" fontId="15" fillId="0" borderId="13" xfId="0" applyFont="1" applyFill="1" applyBorder="1" applyAlignment="1">
      <alignment horizontal="center" wrapText="1"/>
    </xf>
    <xf numFmtId="0" fontId="15" fillId="0" borderId="33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center"/>
    </xf>
    <xf numFmtId="0" fontId="15" fillId="0" borderId="21" xfId="0" applyFont="1" applyFill="1" applyBorder="1"/>
    <xf numFmtId="2" fontId="16" fillId="0" borderId="17" xfId="0" applyNumberFormat="1" applyFont="1" applyFill="1" applyBorder="1"/>
    <xf numFmtId="2" fontId="16" fillId="0" borderId="34" xfId="0" applyNumberFormat="1" applyFont="1" applyFill="1" applyBorder="1"/>
    <xf numFmtId="0" fontId="16" fillId="0" borderId="22" xfId="0" applyFont="1" applyFill="1" applyBorder="1"/>
    <xf numFmtId="2" fontId="16" fillId="0" borderId="14" xfId="0" applyNumberFormat="1" applyFont="1" applyFill="1" applyBorder="1"/>
    <xf numFmtId="2" fontId="16" fillId="0" borderId="14" xfId="0" applyNumberFormat="1" applyFont="1" applyFill="1" applyBorder="1" applyAlignment="1">
      <alignment horizontal="right"/>
    </xf>
    <xf numFmtId="2" fontId="16" fillId="0" borderId="35" xfId="0" applyNumberFormat="1" applyFont="1" applyFill="1" applyBorder="1"/>
    <xf numFmtId="2" fontId="16" fillId="0" borderId="22" xfId="0" applyNumberFormat="1" applyFont="1" applyFill="1" applyBorder="1"/>
    <xf numFmtId="0" fontId="16" fillId="0" borderId="22" xfId="0" applyFont="1" applyFill="1" applyBorder="1" applyAlignment="1">
      <alignment vertical="justify" wrapText="1"/>
    </xf>
    <xf numFmtId="164" fontId="16" fillId="0" borderId="14" xfId="1" applyFont="1" applyFill="1" applyBorder="1" applyAlignment="1">
      <alignment horizontal="center" vertical="center"/>
    </xf>
    <xf numFmtId="164" fontId="16" fillId="0" borderId="14" xfId="1" applyFont="1" applyFill="1" applyBorder="1" applyAlignment="1">
      <alignment horizontal="center"/>
    </xf>
    <xf numFmtId="164" fontId="16" fillId="0" borderId="14" xfId="1" applyFont="1" applyFill="1" applyBorder="1" applyAlignment="1">
      <alignment horizontal="right"/>
    </xf>
    <xf numFmtId="164" fontId="16" fillId="0" borderId="22" xfId="1" applyFont="1" applyFill="1" applyBorder="1" applyAlignment="1">
      <alignment horizontal="right"/>
    </xf>
    <xf numFmtId="43" fontId="16" fillId="0" borderId="14" xfId="0" applyNumberFormat="1" applyFont="1" applyFill="1" applyBorder="1"/>
    <xf numFmtId="164" fontId="16" fillId="0" borderId="0" xfId="0" applyNumberFormat="1" applyFont="1" applyFill="1"/>
    <xf numFmtId="164" fontId="16" fillId="0" borderId="14" xfId="1" applyFont="1" applyFill="1" applyBorder="1" applyAlignment="1">
      <alignment vertical="center"/>
    </xf>
    <xf numFmtId="164" fontId="16" fillId="0" borderId="35" xfId="1" applyFont="1" applyFill="1" applyBorder="1" applyAlignment="1">
      <alignment horizontal="right"/>
    </xf>
    <xf numFmtId="2" fontId="16" fillId="0" borderId="14" xfId="1" applyNumberFormat="1" applyFont="1" applyFill="1" applyBorder="1" applyAlignment="1">
      <alignment horizontal="right"/>
    </xf>
    <xf numFmtId="164" fontId="16" fillId="0" borderId="14" xfId="1" applyFont="1" applyFill="1" applyBorder="1" applyAlignment="1"/>
    <xf numFmtId="164" fontId="16" fillId="0" borderId="22" xfId="1" applyFont="1" applyFill="1" applyBorder="1" applyAlignment="1">
      <alignment horizontal="center"/>
    </xf>
    <xf numFmtId="164" fontId="16" fillId="0" borderId="35" xfId="1" applyFont="1" applyFill="1" applyBorder="1" applyAlignment="1">
      <alignment horizontal="center"/>
    </xf>
    <xf numFmtId="2" fontId="16" fillId="0" borderId="0" xfId="0" applyNumberFormat="1" applyFont="1" applyFill="1"/>
    <xf numFmtId="164" fontId="16" fillId="0" borderId="22" xfId="1" applyFont="1" applyFill="1" applyBorder="1"/>
    <xf numFmtId="166" fontId="16" fillId="0" borderId="14" xfId="1" applyNumberFormat="1" applyFont="1" applyFill="1" applyBorder="1" applyAlignment="1">
      <alignment horizontal="right"/>
    </xf>
    <xf numFmtId="2" fontId="16" fillId="0" borderId="14" xfId="1" applyNumberFormat="1" applyFont="1" applyFill="1" applyBorder="1" applyAlignment="1"/>
    <xf numFmtId="0" fontId="16" fillId="0" borderId="35" xfId="0" applyFont="1" applyFill="1" applyBorder="1"/>
    <xf numFmtId="0" fontId="15" fillId="0" borderId="22" xfId="0" applyFont="1" applyFill="1" applyBorder="1"/>
    <xf numFmtId="2" fontId="15" fillId="0" borderId="14" xfId="0" applyNumberFormat="1" applyFont="1" applyFill="1" applyBorder="1"/>
    <xf numFmtId="2" fontId="15" fillId="0" borderId="35" xfId="0" applyNumberFormat="1" applyFont="1" applyFill="1" applyBorder="1"/>
    <xf numFmtId="2" fontId="15" fillId="0" borderId="22" xfId="0" applyNumberFormat="1" applyFont="1" applyFill="1" applyBorder="1"/>
    <xf numFmtId="0" fontId="15" fillId="0" borderId="0" xfId="0" applyFont="1" applyFill="1"/>
    <xf numFmtId="164" fontId="15" fillId="0" borderId="0" xfId="0" applyNumberFormat="1" applyFont="1" applyFill="1"/>
    <xf numFmtId="2" fontId="15" fillId="0" borderId="0" xfId="0" applyNumberFormat="1" applyFont="1" applyFill="1"/>
    <xf numFmtId="2" fontId="15" fillId="0" borderId="14" xfId="0" applyNumberFormat="1" applyFont="1" applyFill="1" applyBorder="1" applyAlignment="1">
      <alignment horizontal="center"/>
    </xf>
    <xf numFmtId="2" fontId="15" fillId="0" borderId="14" xfId="0" applyNumberFormat="1" applyFont="1" applyFill="1" applyBorder="1" applyAlignment="1">
      <alignment horizontal="right"/>
    </xf>
    <xf numFmtId="164" fontId="15" fillId="0" borderId="14" xfId="1" applyFont="1" applyFill="1" applyBorder="1" applyAlignment="1">
      <alignment horizontal="right"/>
    </xf>
    <xf numFmtId="164" fontId="15" fillId="0" borderId="14" xfId="1" applyFont="1" applyFill="1" applyBorder="1" applyAlignment="1">
      <alignment horizontal="center"/>
    </xf>
    <xf numFmtId="2" fontId="15" fillId="0" borderId="35" xfId="0" applyNumberFormat="1" applyFont="1" applyFill="1" applyBorder="1" applyAlignment="1">
      <alignment horizontal="right"/>
    </xf>
    <xf numFmtId="164" fontId="16" fillId="0" borderId="35" xfId="1" applyFont="1" applyFill="1" applyBorder="1"/>
    <xf numFmtId="2" fontId="15" fillId="0" borderId="36" xfId="0" applyNumberFormat="1" applyFont="1" applyFill="1" applyBorder="1"/>
    <xf numFmtId="164" fontId="15" fillId="0" borderId="19" xfId="1" applyFont="1" applyFill="1" applyBorder="1" applyAlignment="1">
      <alignment horizontal="right"/>
    </xf>
    <xf numFmtId="164" fontId="15" fillId="0" borderId="19" xfId="1" applyFont="1" applyFill="1" applyBorder="1" applyAlignment="1">
      <alignment horizontal="center"/>
    </xf>
    <xf numFmtId="164" fontId="15" fillId="0" borderId="23" xfId="1" applyFont="1" applyFill="1" applyBorder="1"/>
    <xf numFmtId="0" fontId="16" fillId="0" borderId="14" xfId="0" applyFont="1" applyFill="1" applyBorder="1"/>
    <xf numFmtId="164" fontId="16" fillId="0" borderId="36" xfId="1" applyFont="1" applyFill="1" applyBorder="1"/>
    <xf numFmtId="2" fontId="22" fillId="0" borderId="13" xfId="0" applyNumberFormat="1" applyFont="1" applyFill="1" applyBorder="1"/>
    <xf numFmtId="2" fontId="22" fillId="0" borderId="33" xfId="0" applyNumberFormat="1" applyFont="1" applyFill="1" applyBorder="1"/>
    <xf numFmtId="0" fontId="22" fillId="0" borderId="0" xfId="0" applyFont="1" applyFill="1"/>
    <xf numFmtId="164" fontId="22" fillId="0" borderId="0" xfId="0" applyNumberFormat="1" applyFont="1" applyFill="1"/>
    <xf numFmtId="2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right"/>
    </xf>
    <xf numFmtId="0" fontId="15" fillId="0" borderId="14" xfId="0" applyFont="1" applyFill="1" applyBorder="1"/>
    <xf numFmtId="0" fontId="15" fillId="0" borderId="19" xfId="0" applyFont="1" applyFill="1" applyBorder="1"/>
    <xf numFmtId="0" fontId="22" fillId="0" borderId="13" xfId="0" applyFont="1" applyFill="1" applyBorder="1" applyAlignment="1">
      <alignment horizontal="center"/>
    </xf>
    <xf numFmtId="43" fontId="16" fillId="0" borderId="17" xfId="0" applyNumberFormat="1" applyFont="1" applyFill="1" applyBorder="1"/>
    <xf numFmtId="0" fontId="16" fillId="0" borderId="40" xfId="0" applyFont="1" applyFill="1" applyBorder="1"/>
    <xf numFmtId="0" fontId="3" fillId="0" borderId="16" xfId="0" applyFont="1" applyFill="1" applyBorder="1"/>
    <xf numFmtId="0" fontId="12" fillId="0" borderId="16" xfId="0" applyFont="1" applyFill="1" applyBorder="1"/>
    <xf numFmtId="2" fontId="2" fillId="0" borderId="17" xfId="0" applyNumberFormat="1" applyFont="1" applyFill="1" applyBorder="1"/>
    <xf numFmtId="0" fontId="3" fillId="0" borderId="14" xfId="0" applyFont="1" applyFill="1" applyBorder="1" applyAlignment="1">
      <alignment horizontal="justify"/>
    </xf>
    <xf numFmtId="0" fontId="2" fillId="0" borderId="14" xfId="0" applyFont="1" applyFill="1" applyBorder="1" applyAlignment="1">
      <alignment horizontal="justify"/>
    </xf>
    <xf numFmtId="0" fontId="2" fillId="0" borderId="52" xfId="0" applyFont="1" applyFill="1" applyBorder="1"/>
    <xf numFmtId="0" fontId="2" fillId="0" borderId="19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center"/>
    </xf>
    <xf numFmtId="0" fontId="2" fillId="0" borderId="65" xfId="0" applyFont="1" applyFill="1" applyBorder="1"/>
    <xf numFmtId="0" fontId="12" fillId="0" borderId="19" xfId="0" applyFont="1" applyFill="1" applyBorder="1"/>
    <xf numFmtId="0" fontId="2" fillId="0" borderId="14" xfId="0" applyFont="1" applyFill="1" applyBorder="1" applyAlignment="1">
      <alignment vertical="top" wrapText="1"/>
    </xf>
    <xf numFmtId="0" fontId="2" fillId="0" borderId="60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5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right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left"/>
    </xf>
    <xf numFmtId="0" fontId="3" fillId="0" borderId="44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2" fontId="3" fillId="0" borderId="50" xfId="0" applyNumberFormat="1" applyFont="1" applyFill="1" applyBorder="1" applyAlignment="1">
      <alignment horizontal="center"/>
    </xf>
    <xf numFmtId="2" fontId="3" fillId="0" borderId="49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5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41" xfId="0" applyFont="1" applyFill="1" applyBorder="1" applyAlignment="1">
      <alignment horizontal="right"/>
    </xf>
    <xf numFmtId="2" fontId="2" fillId="0" borderId="52" xfId="0" applyNumberFormat="1" applyFont="1" applyFill="1" applyBorder="1" applyAlignment="1">
      <alignment horizontal="right"/>
    </xf>
    <xf numFmtId="0" fontId="3" fillId="0" borderId="57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/>
    </xf>
    <xf numFmtId="0" fontId="3" fillId="0" borderId="59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15" fillId="0" borderId="46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52" xfId="0" applyFont="1" applyFill="1" applyBorder="1" applyAlignment="1">
      <alignment horizontal="right"/>
    </xf>
    <xf numFmtId="0" fontId="3" fillId="0" borderId="59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2" fillId="0" borderId="10" xfId="0" applyFont="1" applyFill="1" applyBorder="1" applyAlignment="1"/>
    <xf numFmtId="0" fontId="2" fillId="0" borderId="5" xfId="0" applyFont="1" applyFill="1" applyBorder="1" applyAlignment="1"/>
    <xf numFmtId="0" fontId="2" fillId="0" borderId="11" xfId="0" applyFont="1" applyFill="1" applyBorder="1" applyAlignment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8" xfId="0" applyFont="1" applyFill="1" applyBorder="1" applyAlignment="1"/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2" fillId="0" borderId="37" xfId="0" applyFont="1" applyFill="1" applyBorder="1" applyAlignment="1"/>
    <xf numFmtId="0" fontId="2" fillId="0" borderId="38" xfId="0" applyFont="1" applyFill="1" applyBorder="1" applyAlignment="1"/>
    <xf numFmtId="0" fontId="2" fillId="0" borderId="39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13" fillId="0" borderId="41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13" fillId="0" borderId="40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2" fontId="3" fillId="0" borderId="40" xfId="0" applyNumberFormat="1" applyFont="1" applyFill="1" applyBorder="1" applyAlignment="1">
      <alignment horizontal="center" vertical="center" wrapText="1"/>
    </xf>
    <xf numFmtId="2" fontId="1" fillId="0" borderId="16" xfId="0" applyNumberFormat="1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/>
    </xf>
    <xf numFmtId="2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left"/>
    </xf>
    <xf numFmtId="0" fontId="4" fillId="0" borderId="41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42"/>
  <sheetViews>
    <sheetView view="pageBreakPreview" topLeftCell="A10" zoomScaleSheetLayoutView="100" workbookViewId="0">
      <selection activeCell="G18" sqref="G18"/>
    </sheetView>
  </sheetViews>
  <sheetFormatPr defaultColWidth="9.109375" defaultRowHeight="15.6"/>
  <cols>
    <col min="1" max="1" width="65.44140625" style="69" customWidth="1"/>
    <col min="2" max="2" width="18.5546875" style="69" customWidth="1"/>
    <col min="3" max="3" width="25.88671875" style="69" customWidth="1"/>
    <col min="4" max="4" width="24.44140625" style="69" customWidth="1"/>
    <col min="5" max="5" width="14.6640625" style="69" customWidth="1"/>
    <col min="6" max="6" width="14" style="69" bestFit="1" customWidth="1"/>
    <col min="7" max="7" width="12" style="69" bestFit="1" customWidth="1"/>
    <col min="8" max="16384" width="9.109375" style="69"/>
  </cols>
  <sheetData>
    <row r="1" spans="1:6" ht="33.75" customHeight="1">
      <c r="A1" s="584" t="s">
        <v>529</v>
      </c>
      <c r="B1" s="584"/>
      <c r="C1" s="584"/>
      <c r="D1" s="584"/>
    </row>
    <row r="2" spans="1:6" ht="12" customHeight="1">
      <c r="A2" s="184"/>
      <c r="B2" s="184"/>
      <c r="C2" s="184"/>
      <c r="D2" s="184"/>
      <c r="E2" s="184"/>
    </row>
    <row r="3" spans="1:6">
      <c r="A3" s="582" t="s">
        <v>1412</v>
      </c>
      <c r="B3" s="582"/>
      <c r="C3" s="582"/>
      <c r="D3" s="582"/>
    </row>
    <row r="4" spans="1:6">
      <c r="A4" s="71"/>
      <c r="B4" s="71"/>
      <c r="C4" s="71"/>
      <c r="D4" s="406" t="s">
        <v>1393</v>
      </c>
    </row>
    <row r="5" spans="1:6" ht="16.2" thickBot="1">
      <c r="A5" s="71"/>
      <c r="B5" s="71"/>
      <c r="C5" s="71"/>
      <c r="D5" s="71"/>
    </row>
    <row r="6" spans="1:6" ht="16.2" thickBot="1">
      <c r="A6" s="72" t="s">
        <v>277</v>
      </c>
      <c r="B6" s="319" t="s">
        <v>419</v>
      </c>
      <c r="C6" s="72" t="s">
        <v>420</v>
      </c>
      <c r="D6" s="72" t="s">
        <v>421</v>
      </c>
    </row>
    <row r="7" spans="1:6">
      <c r="A7" s="252"/>
      <c r="B7" s="320"/>
      <c r="C7" s="73"/>
      <c r="D7" s="326"/>
    </row>
    <row r="8" spans="1:6">
      <c r="A8" s="253" t="s">
        <v>278</v>
      </c>
      <c r="B8" s="321">
        <v>1</v>
      </c>
      <c r="C8" s="74">
        <f>Capi!C13</f>
        <v>2447145988.2310314</v>
      </c>
      <c r="D8" s="74">
        <f>Capi!E13</f>
        <v>2650370957.1110315</v>
      </c>
      <c r="E8" s="75"/>
    </row>
    <row r="9" spans="1:6">
      <c r="A9" s="254" t="s">
        <v>259</v>
      </c>
      <c r="B9" s="321">
        <v>2</v>
      </c>
      <c r="C9" s="76" t="s">
        <v>242</v>
      </c>
      <c r="D9" s="76" t="s">
        <v>242</v>
      </c>
    </row>
    <row r="10" spans="1:6">
      <c r="A10" s="253" t="s">
        <v>415</v>
      </c>
      <c r="B10" s="321">
        <v>3</v>
      </c>
      <c r="C10" s="76" t="s">
        <v>242</v>
      </c>
      <c r="D10" s="76" t="s">
        <v>242</v>
      </c>
    </row>
    <row r="11" spans="1:6">
      <c r="A11" s="254" t="s">
        <v>416</v>
      </c>
      <c r="B11" s="321">
        <v>4</v>
      </c>
      <c r="C11" s="76" t="s">
        <v>242</v>
      </c>
      <c r="D11" s="76" t="s">
        <v>242</v>
      </c>
    </row>
    <row r="12" spans="1:6">
      <c r="A12" s="253" t="s">
        <v>251</v>
      </c>
      <c r="B12" s="321">
        <v>5</v>
      </c>
      <c r="C12" s="76" t="s">
        <v>242</v>
      </c>
      <c r="D12" s="76" t="s">
        <v>242</v>
      </c>
    </row>
    <row r="13" spans="1:6">
      <c r="A13" s="254" t="s">
        <v>417</v>
      </c>
      <c r="B13" s="321">
        <v>6</v>
      </c>
      <c r="C13" s="76" t="s">
        <v>242</v>
      </c>
      <c r="D13" s="76" t="s">
        <v>242</v>
      </c>
    </row>
    <row r="14" spans="1:6">
      <c r="A14" s="253" t="s">
        <v>418</v>
      </c>
      <c r="B14" s="321">
        <v>7</v>
      </c>
      <c r="C14" s="74">
        <f>'S 7'!B117</f>
        <v>155702123.51999998</v>
      </c>
      <c r="D14" s="74">
        <f>'S 7'!E117</f>
        <v>111231980.52</v>
      </c>
    </row>
    <row r="15" spans="1:6" ht="16.2" thickBot="1">
      <c r="A15" s="255"/>
      <c r="B15" s="324"/>
      <c r="C15" s="77"/>
      <c r="D15" s="77"/>
      <c r="F15" s="75"/>
    </row>
    <row r="16" spans="1:6" ht="16.2" thickBot="1">
      <c r="A16" s="291" t="s">
        <v>422</v>
      </c>
      <c r="B16" s="79"/>
      <c r="C16" s="129">
        <f>SUM(C8:C15)</f>
        <v>2602848111.7510314</v>
      </c>
      <c r="D16" s="129">
        <f>SUM(D8:D15)</f>
        <v>2761602937.6310315</v>
      </c>
      <c r="E16" s="75"/>
      <c r="F16" s="75"/>
    </row>
    <row r="17" spans="1:6" ht="16.2" thickBot="1">
      <c r="A17" s="84"/>
      <c r="B17" s="71"/>
      <c r="C17" s="71"/>
      <c r="D17" s="92"/>
      <c r="F17" s="75"/>
    </row>
    <row r="18" spans="1:6" ht="16.2" thickBot="1">
      <c r="A18" s="291" t="s">
        <v>423</v>
      </c>
      <c r="B18" s="72" t="s">
        <v>419</v>
      </c>
      <c r="C18" s="72" t="s">
        <v>420</v>
      </c>
      <c r="D18" s="72" t="s">
        <v>421</v>
      </c>
    </row>
    <row r="19" spans="1:6">
      <c r="A19" s="325"/>
      <c r="B19" s="320"/>
      <c r="C19" s="91"/>
      <c r="D19" s="73"/>
    </row>
    <row r="20" spans="1:6">
      <c r="A20" s="253" t="s">
        <v>424</v>
      </c>
      <c r="B20" s="321">
        <v>8</v>
      </c>
      <c r="C20" s="504">
        <f>'S 8'!J52</f>
        <v>2101127426.6810362</v>
      </c>
      <c r="D20" s="74">
        <f>'S 8'!K52</f>
        <v>2070328893.5310357</v>
      </c>
      <c r="E20" s="75"/>
      <c r="F20" s="75"/>
    </row>
    <row r="21" spans="1:6" ht="15" customHeight="1">
      <c r="A21" s="253" t="s">
        <v>427</v>
      </c>
      <c r="B21" s="321">
        <v>9</v>
      </c>
      <c r="C21" s="327" t="s">
        <v>242</v>
      </c>
      <c r="D21" s="80" t="s">
        <v>242</v>
      </c>
      <c r="E21" s="75"/>
      <c r="F21" s="75"/>
    </row>
    <row r="22" spans="1:6" ht="15" customHeight="1">
      <c r="A22" s="254" t="s">
        <v>428</v>
      </c>
      <c r="B22" s="321">
        <v>10</v>
      </c>
      <c r="C22" s="328">
        <f>'S 9 10'!B37</f>
        <v>267621276</v>
      </c>
      <c r="D22" s="74">
        <f>'S 9 10'!C37</f>
        <v>240500000</v>
      </c>
      <c r="F22" s="75"/>
    </row>
    <row r="23" spans="1:6">
      <c r="A23" s="253" t="s">
        <v>430</v>
      </c>
      <c r="B23" s="321">
        <v>11</v>
      </c>
      <c r="C23" s="328">
        <f>'S 11 c'!C108</f>
        <v>234099409.07000002</v>
      </c>
      <c r="D23" s="74">
        <f>'S 11 c'!E108</f>
        <v>450774044.10000002</v>
      </c>
      <c r="E23" s="75"/>
    </row>
    <row r="24" spans="1:6">
      <c r="A24" s="253" t="s">
        <v>431</v>
      </c>
      <c r="B24" s="321"/>
      <c r="C24" s="76" t="s">
        <v>242</v>
      </c>
      <c r="D24" s="76" t="s">
        <v>242</v>
      </c>
      <c r="E24" s="75"/>
    </row>
    <row r="25" spans="1:6" ht="25.2">
      <c r="A25" s="253" t="s">
        <v>432</v>
      </c>
      <c r="B25" s="322"/>
      <c r="C25" s="329"/>
      <c r="D25" s="122"/>
    </row>
    <row r="26" spans="1:6" ht="16.2" thickBot="1">
      <c r="A26" s="255"/>
      <c r="B26" s="324"/>
      <c r="C26" s="95"/>
      <c r="D26" s="77"/>
      <c r="F26" s="75"/>
    </row>
    <row r="27" spans="1:6" ht="16.2" thickBot="1">
      <c r="A27" s="256" t="s">
        <v>422</v>
      </c>
      <c r="B27" s="79"/>
      <c r="C27" s="129">
        <f>SUM(C20:C25)</f>
        <v>2602848111.7510362</v>
      </c>
      <c r="D27" s="129">
        <f>SUM(D20:D25)</f>
        <v>2761602937.6310353</v>
      </c>
      <c r="E27" s="230">
        <f>C16-C27</f>
        <v>-4.76837158203125E-6</v>
      </c>
      <c r="F27" s="230">
        <f>D16-D27</f>
        <v>-3.814697265625E-6</v>
      </c>
    </row>
    <row r="28" spans="1:6" ht="16.2" thickBot="1">
      <c r="A28" s="331"/>
      <c r="B28" s="97"/>
      <c r="C28" s="71"/>
      <c r="D28" s="98"/>
      <c r="E28" s="75"/>
      <c r="F28" s="75"/>
    </row>
    <row r="29" spans="1:6">
      <c r="A29" s="332" t="s">
        <v>433</v>
      </c>
      <c r="B29" s="333">
        <v>24</v>
      </c>
      <c r="C29" s="334" t="s">
        <v>242</v>
      </c>
      <c r="D29" s="334" t="s">
        <v>242</v>
      </c>
      <c r="E29" s="75"/>
      <c r="F29" s="75"/>
    </row>
    <row r="30" spans="1:6" ht="16.2" thickBot="1">
      <c r="A30" s="318" t="s">
        <v>434</v>
      </c>
      <c r="B30" s="323">
        <v>25</v>
      </c>
      <c r="C30" s="330" t="s">
        <v>242</v>
      </c>
      <c r="D30" s="330" t="s">
        <v>242</v>
      </c>
      <c r="E30" s="75"/>
      <c r="F30" s="75"/>
    </row>
    <row r="31" spans="1:6">
      <c r="A31" s="310"/>
      <c r="B31" s="311"/>
      <c r="C31" s="94"/>
      <c r="D31" s="94"/>
      <c r="E31" s="75"/>
      <c r="F31" s="75"/>
    </row>
    <row r="32" spans="1:6">
      <c r="A32" s="310"/>
      <c r="B32" s="311"/>
      <c r="C32" s="94"/>
      <c r="D32" s="94"/>
      <c r="E32" s="75"/>
      <c r="F32" s="75"/>
    </row>
    <row r="33" spans="1:6">
      <c r="A33" s="71"/>
      <c r="B33" s="81"/>
      <c r="C33" s="82"/>
      <c r="D33" s="83"/>
      <c r="F33" s="75"/>
    </row>
    <row r="35" spans="1:6">
      <c r="A35" s="586" t="s">
        <v>1017</v>
      </c>
      <c r="B35" s="584" t="s">
        <v>1389</v>
      </c>
      <c r="C35" s="584"/>
      <c r="D35" s="584"/>
    </row>
    <row r="36" spans="1:6">
      <c r="A36" s="586"/>
      <c r="B36" s="584"/>
      <c r="C36" s="584"/>
      <c r="D36" s="584"/>
      <c r="F36" s="75"/>
    </row>
    <row r="37" spans="1:6">
      <c r="A37" s="586"/>
      <c r="B37" s="584"/>
      <c r="C37" s="584"/>
      <c r="D37" s="584"/>
    </row>
    <row r="38" spans="1:6">
      <c r="A38" s="585" t="s">
        <v>1018</v>
      </c>
      <c r="B38" s="585"/>
      <c r="C38" s="585"/>
      <c r="D38" s="585"/>
    </row>
    <row r="39" spans="1:6">
      <c r="A39" s="57"/>
      <c r="B39" s="81"/>
      <c r="C39" s="583"/>
      <c r="D39" s="583"/>
    </row>
    <row r="40" spans="1:6">
      <c r="A40" s="71"/>
      <c r="B40" s="84"/>
      <c r="C40" s="84"/>
      <c r="D40" s="84"/>
    </row>
    <row r="41" spans="1:6">
      <c r="A41" s="71"/>
      <c r="B41" s="71"/>
      <c r="C41" s="83"/>
      <c r="D41" s="83"/>
    </row>
    <row r="42" spans="1:6" ht="15.75" customHeight="1">
      <c r="A42" s="71"/>
      <c r="B42" s="71"/>
      <c r="C42" s="83"/>
      <c r="D42" s="83"/>
    </row>
  </sheetData>
  <mergeCells count="6">
    <mergeCell ref="A3:D3"/>
    <mergeCell ref="C39:D39"/>
    <mergeCell ref="A1:D1"/>
    <mergeCell ref="A38:D38"/>
    <mergeCell ref="A35:A37"/>
    <mergeCell ref="B35:D37"/>
  </mergeCells>
  <phoneticPr fontId="0" type="noConversion"/>
  <printOptions horizontalCentered="1"/>
  <pageMargins left="0.39370078740157483" right="0.39370078740157483" top="0.39370078740157483" bottom="0.39370078740157483" header="0.15" footer="0"/>
  <pageSetup paperSize="9" scale="8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4"/>
  <dimension ref="A1:AV39"/>
  <sheetViews>
    <sheetView view="pageBreakPreview" topLeftCell="A16" zoomScale="85" zoomScaleSheetLayoutView="85" workbookViewId="0">
      <selection activeCell="F30" sqref="F30"/>
    </sheetView>
  </sheetViews>
  <sheetFormatPr defaultColWidth="9.109375" defaultRowHeight="13.8"/>
  <cols>
    <col min="1" max="1" width="90.88671875" style="134" customWidth="1"/>
    <col min="2" max="2" width="20.44140625" style="134" customWidth="1"/>
    <col min="3" max="3" width="19.6640625" style="134" customWidth="1"/>
    <col min="4" max="48" width="9.109375" style="133"/>
    <col min="49" max="16384" width="9.109375" style="134"/>
  </cols>
  <sheetData>
    <row r="1" spans="1:8">
      <c r="A1" s="645" t="s">
        <v>332</v>
      </c>
      <c r="B1" s="645"/>
      <c r="C1" s="645"/>
      <c r="D1" s="132"/>
      <c r="E1" s="132"/>
      <c r="F1" s="132"/>
      <c r="G1" s="132"/>
      <c r="H1" s="132"/>
    </row>
    <row r="2" spans="1:8" ht="8.25" customHeight="1">
      <c r="A2" s="131"/>
      <c r="B2" s="131"/>
      <c r="C2" s="131"/>
    </row>
    <row r="3" spans="1:8">
      <c r="A3" s="646" t="s">
        <v>1415</v>
      </c>
      <c r="B3" s="646"/>
      <c r="C3" s="646"/>
      <c r="D3" s="135"/>
      <c r="E3" s="135"/>
      <c r="F3" s="135"/>
      <c r="G3" s="135"/>
      <c r="H3" s="135"/>
    </row>
    <row r="4" spans="1:8" ht="16.2" thickBot="1">
      <c r="A4" s="133"/>
      <c r="B4" s="624" t="s">
        <v>1393</v>
      </c>
      <c r="C4" s="624"/>
    </row>
    <row r="5" spans="1:8" ht="14.4" thickBot="1">
      <c r="A5" s="141" t="s">
        <v>141</v>
      </c>
      <c r="B5" s="137" t="s">
        <v>420</v>
      </c>
      <c r="C5" s="137" t="s">
        <v>421</v>
      </c>
    </row>
    <row r="6" spans="1:8">
      <c r="A6" s="139" t="s">
        <v>142</v>
      </c>
      <c r="B6" s="140" t="s">
        <v>242</v>
      </c>
      <c r="C6" s="140" t="s">
        <v>242</v>
      </c>
    </row>
    <row r="7" spans="1:8">
      <c r="A7" s="139"/>
      <c r="B7" s="140"/>
      <c r="C7" s="140"/>
    </row>
    <row r="8" spans="1:8">
      <c r="A8" s="139" t="s">
        <v>143</v>
      </c>
      <c r="B8" s="140" t="s">
        <v>242</v>
      </c>
      <c r="C8" s="140" t="s">
        <v>242</v>
      </c>
    </row>
    <row r="9" spans="1:8">
      <c r="A9" s="139"/>
      <c r="B9" s="140"/>
      <c r="C9" s="140"/>
    </row>
    <row r="10" spans="1:8">
      <c r="A10" s="139" t="s">
        <v>144</v>
      </c>
      <c r="B10" s="140" t="s">
        <v>242</v>
      </c>
      <c r="C10" s="140" t="s">
        <v>242</v>
      </c>
    </row>
    <row r="11" spans="1:8">
      <c r="A11" s="139"/>
      <c r="B11" s="140"/>
      <c r="C11" s="140"/>
    </row>
    <row r="12" spans="1:8">
      <c r="A12" s="139" t="s">
        <v>145</v>
      </c>
      <c r="B12" s="140" t="s">
        <v>242</v>
      </c>
      <c r="C12" s="140" t="s">
        <v>242</v>
      </c>
    </row>
    <row r="13" spans="1:8">
      <c r="A13" s="139"/>
      <c r="B13" s="140"/>
      <c r="C13" s="140"/>
    </row>
    <row r="14" spans="1:8">
      <c r="A14" s="139" t="s">
        <v>146</v>
      </c>
      <c r="B14" s="140" t="s">
        <v>242</v>
      </c>
      <c r="C14" s="140" t="s">
        <v>242</v>
      </c>
    </row>
    <row r="15" spans="1:8">
      <c r="A15" s="139"/>
      <c r="B15" s="140"/>
      <c r="C15" s="140"/>
    </row>
    <row r="16" spans="1:8" ht="14.4" thickBot="1">
      <c r="A16" s="139" t="s">
        <v>147</v>
      </c>
      <c r="B16" s="140" t="s">
        <v>242</v>
      </c>
      <c r="C16" s="140" t="s">
        <v>242</v>
      </c>
    </row>
    <row r="17" spans="1:3" ht="14.4" thickBot="1">
      <c r="A17" s="141" t="s">
        <v>148</v>
      </c>
      <c r="B17" s="137" t="s">
        <v>242</v>
      </c>
      <c r="C17" s="137" t="s">
        <v>242</v>
      </c>
    </row>
    <row r="18" spans="1:3" ht="14.4" thickBot="1">
      <c r="A18" s="133"/>
      <c r="B18" s="142"/>
      <c r="C18" s="142"/>
    </row>
    <row r="19" spans="1:3" ht="14.4" thickBot="1">
      <c r="A19" s="137" t="s">
        <v>149</v>
      </c>
      <c r="B19" s="137" t="s">
        <v>420</v>
      </c>
      <c r="C19" s="145" t="s">
        <v>421</v>
      </c>
    </row>
    <row r="20" spans="1:3">
      <c r="A20" s="138" t="s">
        <v>142</v>
      </c>
      <c r="B20" s="452" t="s">
        <v>242</v>
      </c>
      <c r="C20" s="263" t="s">
        <v>242</v>
      </c>
    </row>
    <row r="21" spans="1:3">
      <c r="A21" s="139"/>
      <c r="B21" s="143"/>
      <c r="C21" s="264"/>
    </row>
    <row r="22" spans="1:3">
      <c r="A22" s="139" t="s">
        <v>143</v>
      </c>
      <c r="B22" s="140" t="s">
        <v>242</v>
      </c>
      <c r="C22" s="147" t="s">
        <v>242</v>
      </c>
    </row>
    <row r="23" spans="1:3">
      <c r="A23" s="139"/>
      <c r="B23" s="143"/>
      <c r="C23" s="264"/>
    </row>
    <row r="24" spans="1:3">
      <c r="A24" s="139" t="s">
        <v>144</v>
      </c>
      <c r="B24" s="140" t="s">
        <v>242</v>
      </c>
      <c r="C24" s="147" t="s">
        <v>242</v>
      </c>
    </row>
    <row r="25" spans="1:3">
      <c r="A25" s="139"/>
      <c r="B25" s="143"/>
      <c r="C25" s="264"/>
    </row>
    <row r="26" spans="1:3">
      <c r="A26" s="139" t="s">
        <v>145</v>
      </c>
      <c r="B26" s="140" t="s">
        <v>242</v>
      </c>
      <c r="C26" s="147" t="s">
        <v>242</v>
      </c>
    </row>
    <row r="27" spans="1:3">
      <c r="A27" s="139"/>
      <c r="B27" s="143"/>
      <c r="C27" s="264"/>
    </row>
    <row r="28" spans="1:3">
      <c r="A28" s="139" t="s">
        <v>146</v>
      </c>
      <c r="B28" s="140" t="s">
        <v>242</v>
      </c>
      <c r="C28" s="147" t="s">
        <v>242</v>
      </c>
    </row>
    <row r="29" spans="1:3">
      <c r="A29" s="139"/>
      <c r="B29" s="143"/>
      <c r="C29" s="264"/>
    </row>
    <row r="30" spans="1:3">
      <c r="A30" s="139" t="s">
        <v>246</v>
      </c>
      <c r="B30" s="140" t="s">
        <v>242</v>
      </c>
      <c r="C30" s="147" t="s">
        <v>242</v>
      </c>
    </row>
    <row r="31" spans="1:3">
      <c r="A31" s="139" t="s">
        <v>269</v>
      </c>
      <c r="B31" s="140" t="s">
        <v>242</v>
      </c>
      <c r="C31" s="147" t="s">
        <v>242</v>
      </c>
    </row>
    <row r="32" spans="1:3">
      <c r="A32" s="139" t="s">
        <v>248</v>
      </c>
      <c r="B32" s="140" t="s">
        <v>242</v>
      </c>
      <c r="C32" s="147" t="s">
        <v>242</v>
      </c>
    </row>
    <row r="33" spans="1:3">
      <c r="A33" s="139" t="s">
        <v>247</v>
      </c>
      <c r="B33" s="140" t="s">
        <v>242</v>
      </c>
      <c r="C33" s="147" t="s">
        <v>242</v>
      </c>
    </row>
    <row r="34" spans="1:3" ht="15.6">
      <c r="A34" s="139" t="s">
        <v>165</v>
      </c>
      <c r="B34" s="58">
        <v>897132</v>
      </c>
      <c r="C34" s="190">
        <f>'R P'!I307</f>
        <v>500000</v>
      </c>
    </row>
    <row r="35" spans="1:3" ht="15.6">
      <c r="A35" s="139" t="s">
        <v>306</v>
      </c>
      <c r="B35" s="58">
        <v>266724144</v>
      </c>
      <c r="C35" s="63">
        <v>240000000</v>
      </c>
    </row>
    <row r="36" spans="1:3" ht="14.4" thickBot="1">
      <c r="A36" s="446" t="s">
        <v>307</v>
      </c>
      <c r="B36" s="357" t="s">
        <v>242</v>
      </c>
      <c r="C36" s="357" t="s">
        <v>242</v>
      </c>
    </row>
    <row r="37" spans="1:3" ht="16.2" thickBot="1">
      <c r="A37" s="137" t="s">
        <v>148</v>
      </c>
      <c r="B37" s="64">
        <f>SUM(B20:B36)</f>
        <v>267621276</v>
      </c>
      <c r="C37" s="144">
        <f>SUM(C20:C36)</f>
        <v>240500000</v>
      </c>
    </row>
    <row r="39" spans="1:3">
      <c r="A39" s="647" t="s">
        <v>1032</v>
      </c>
      <c r="B39" s="647"/>
      <c r="C39" s="647"/>
    </row>
  </sheetData>
  <mergeCells count="4">
    <mergeCell ref="A1:C1"/>
    <mergeCell ref="A3:C3"/>
    <mergeCell ref="B4:C4"/>
    <mergeCell ref="A39:C39"/>
  </mergeCells>
  <phoneticPr fontId="0" type="noConversion"/>
  <printOptions horizontalCentered="1"/>
  <pageMargins left="0.98425196850393704" right="0.51181102362204722" top="0.23622047244094491" bottom="0.31496062992125984" header="0.15" footer="0"/>
  <pageSetup paperSize="9" scale="8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/>
  <dimension ref="A1:I122"/>
  <sheetViews>
    <sheetView view="pageBreakPreview" topLeftCell="A37" zoomScaleSheetLayoutView="100" workbookViewId="0">
      <selection activeCell="G49" sqref="G49"/>
    </sheetView>
  </sheetViews>
  <sheetFormatPr defaultColWidth="9.109375" defaultRowHeight="15.6"/>
  <cols>
    <col min="1" max="1" width="63.33203125" style="37" bestFit="1" customWidth="1"/>
    <col min="2" max="2" width="14.88671875" style="38" bestFit="1" customWidth="1"/>
    <col min="3" max="3" width="19.109375" style="37" bestFit="1" customWidth="1"/>
    <col min="4" max="4" width="14.88671875" style="38" bestFit="1" customWidth="1"/>
    <col min="5" max="5" width="15.6640625" style="37" customWidth="1"/>
    <col min="6" max="6" width="12.5546875" style="37" bestFit="1" customWidth="1"/>
    <col min="7" max="16384" width="9.109375" style="37"/>
  </cols>
  <sheetData>
    <row r="1" spans="1:5">
      <c r="A1" s="629" t="s">
        <v>261</v>
      </c>
      <c r="B1" s="629"/>
      <c r="C1" s="629"/>
      <c r="D1" s="629"/>
      <c r="E1" s="629"/>
    </row>
    <row r="2" spans="1:5">
      <c r="A2" s="498"/>
      <c r="B2" s="120"/>
      <c r="C2" s="498"/>
      <c r="D2" s="120"/>
      <c r="E2" s="498"/>
    </row>
    <row r="3" spans="1:5">
      <c r="A3" s="630" t="s">
        <v>1415</v>
      </c>
      <c r="B3" s="630"/>
      <c r="C3" s="630"/>
      <c r="D3" s="630"/>
      <c r="E3" s="630"/>
    </row>
    <row r="4" spans="1:5" ht="16.2" thickBot="1">
      <c r="A4" s="499"/>
      <c r="B4" s="121"/>
      <c r="C4" s="499"/>
      <c r="D4" s="598" t="s">
        <v>1393</v>
      </c>
      <c r="E4" s="598"/>
    </row>
    <row r="5" spans="1:5" ht="16.2" thickBot="1">
      <c r="A5" s="107" t="s">
        <v>150</v>
      </c>
      <c r="B5" s="626" t="s">
        <v>420</v>
      </c>
      <c r="C5" s="627"/>
      <c r="D5" s="628" t="s">
        <v>421</v>
      </c>
      <c r="E5" s="593"/>
    </row>
    <row r="6" spans="1:5">
      <c r="A6" s="288" t="s">
        <v>151</v>
      </c>
      <c r="B6" s="194"/>
      <c r="C6" s="203"/>
      <c r="D6" s="352"/>
      <c r="E6" s="281"/>
    </row>
    <row r="7" spans="1:5">
      <c r="A7" s="289" t="s">
        <v>345</v>
      </c>
      <c r="B7" s="58"/>
      <c r="C7" s="108"/>
      <c r="D7" s="190"/>
      <c r="E7" s="189"/>
    </row>
    <row r="8" spans="1:5" s="36" customFormat="1">
      <c r="A8" s="265" t="s">
        <v>347</v>
      </c>
      <c r="B8" s="192">
        <v>18429547.289999999</v>
      </c>
      <c r="C8" s="80" t="s">
        <v>242</v>
      </c>
      <c r="D8" s="192">
        <v>35411696.32</v>
      </c>
      <c r="E8" s="80" t="s">
        <v>242</v>
      </c>
    </row>
    <row r="9" spans="1:5">
      <c r="A9" s="108" t="s">
        <v>348</v>
      </c>
      <c r="B9" s="186" t="s">
        <v>242</v>
      </c>
      <c r="C9" s="80" t="s">
        <v>242</v>
      </c>
      <c r="D9" s="186" t="s">
        <v>242</v>
      </c>
      <c r="E9" s="80" t="s">
        <v>242</v>
      </c>
    </row>
    <row r="10" spans="1:5">
      <c r="A10" s="108" t="s">
        <v>349</v>
      </c>
      <c r="B10" s="186" t="s">
        <v>242</v>
      </c>
      <c r="C10" s="80" t="s">
        <v>242</v>
      </c>
      <c r="D10" s="186" t="s">
        <v>242</v>
      </c>
      <c r="E10" s="80" t="s">
        <v>242</v>
      </c>
    </row>
    <row r="11" spans="1:5">
      <c r="A11" s="108" t="s">
        <v>350</v>
      </c>
      <c r="B11" s="186" t="s">
        <v>242</v>
      </c>
      <c r="C11" s="80" t="s">
        <v>242</v>
      </c>
      <c r="D11" s="186" t="s">
        <v>242</v>
      </c>
      <c r="E11" s="80" t="s">
        <v>242</v>
      </c>
    </row>
    <row r="12" spans="1:5">
      <c r="A12" s="108" t="s">
        <v>351</v>
      </c>
      <c r="B12" s="186" t="s">
        <v>242</v>
      </c>
      <c r="C12" s="80" t="s">
        <v>242</v>
      </c>
      <c r="D12" s="186" t="s">
        <v>242</v>
      </c>
      <c r="E12" s="80" t="s">
        <v>242</v>
      </c>
    </row>
    <row r="13" spans="1:5">
      <c r="A13" s="108" t="s">
        <v>352</v>
      </c>
      <c r="B13" s="186" t="s">
        <v>242</v>
      </c>
      <c r="C13" s="80" t="s">
        <v>242</v>
      </c>
      <c r="D13" s="186" t="s">
        <v>242</v>
      </c>
      <c r="E13" s="80" t="s">
        <v>242</v>
      </c>
    </row>
    <row r="14" spans="1:5">
      <c r="A14" s="108"/>
      <c r="B14" s="190"/>
      <c r="C14" s="108"/>
      <c r="D14" s="190"/>
      <c r="E14" s="108"/>
    </row>
    <row r="15" spans="1:5">
      <c r="A15" s="265" t="s">
        <v>346</v>
      </c>
      <c r="B15" s="186" t="s">
        <v>242</v>
      </c>
      <c r="C15" s="80" t="s">
        <v>242</v>
      </c>
      <c r="D15" s="186" t="s">
        <v>242</v>
      </c>
      <c r="E15" s="80" t="s">
        <v>242</v>
      </c>
    </row>
    <row r="16" spans="1:5">
      <c r="A16" s="108" t="s">
        <v>353</v>
      </c>
      <c r="B16" s="186" t="s">
        <v>242</v>
      </c>
      <c r="C16" s="80" t="s">
        <v>242</v>
      </c>
      <c r="D16" s="186" t="s">
        <v>242</v>
      </c>
      <c r="E16" s="80" t="s">
        <v>242</v>
      </c>
    </row>
    <row r="17" spans="1:5">
      <c r="A17" s="108" t="s">
        <v>354</v>
      </c>
      <c r="B17" s="186" t="s">
        <v>242</v>
      </c>
      <c r="C17" s="80" t="s">
        <v>242</v>
      </c>
      <c r="D17" s="186" t="s">
        <v>242</v>
      </c>
      <c r="E17" s="80" t="s">
        <v>242</v>
      </c>
    </row>
    <row r="18" spans="1:5">
      <c r="A18" s="113"/>
      <c r="B18" s="58"/>
      <c r="C18" s="108"/>
      <c r="D18" s="189"/>
      <c r="E18" s="108"/>
    </row>
    <row r="19" spans="1:5">
      <c r="A19" s="289" t="s">
        <v>383</v>
      </c>
      <c r="B19" s="58"/>
      <c r="C19" s="108"/>
      <c r="D19" s="189"/>
      <c r="E19" s="108"/>
    </row>
    <row r="20" spans="1:5">
      <c r="A20" s="289" t="s">
        <v>309</v>
      </c>
      <c r="B20" s="58"/>
      <c r="C20" s="108"/>
      <c r="D20" s="189"/>
      <c r="E20" s="108"/>
    </row>
    <row r="21" spans="1:5">
      <c r="A21" s="113" t="s">
        <v>933</v>
      </c>
      <c r="B21" s="58">
        <v>2000</v>
      </c>
      <c r="C21" s="80" t="s">
        <v>242</v>
      </c>
      <c r="D21" s="449">
        <v>2000</v>
      </c>
      <c r="E21" s="80" t="s">
        <v>242</v>
      </c>
    </row>
    <row r="22" spans="1:5">
      <c r="A22" s="113" t="s">
        <v>692</v>
      </c>
      <c r="B22" s="58">
        <v>5000</v>
      </c>
      <c r="C22" s="80" t="s">
        <v>242</v>
      </c>
      <c r="D22" s="190">
        <v>5000</v>
      </c>
      <c r="E22" s="80" t="s">
        <v>242</v>
      </c>
    </row>
    <row r="23" spans="1:5">
      <c r="A23" s="113" t="s">
        <v>691</v>
      </c>
      <c r="B23" s="58">
        <v>2000</v>
      </c>
      <c r="C23" s="80" t="s">
        <v>242</v>
      </c>
      <c r="D23" s="190">
        <v>2000</v>
      </c>
      <c r="E23" s="80" t="s">
        <v>242</v>
      </c>
    </row>
    <row r="24" spans="1:5">
      <c r="A24" s="113" t="s">
        <v>932</v>
      </c>
      <c r="B24" s="58">
        <v>2000</v>
      </c>
      <c r="C24" s="80" t="s">
        <v>242</v>
      </c>
      <c r="D24" s="190">
        <v>2000</v>
      </c>
      <c r="E24" s="80" t="s">
        <v>242</v>
      </c>
    </row>
    <row r="25" spans="1:5">
      <c r="A25" s="113" t="s">
        <v>1109</v>
      </c>
      <c r="B25" s="58">
        <v>2000</v>
      </c>
      <c r="C25" s="80" t="s">
        <v>242</v>
      </c>
      <c r="D25" s="190">
        <v>2000</v>
      </c>
      <c r="E25" s="80" t="s">
        <v>242</v>
      </c>
    </row>
    <row r="26" spans="1:5">
      <c r="A26" s="113" t="s">
        <v>1110</v>
      </c>
      <c r="B26" s="58">
        <v>2000</v>
      </c>
      <c r="C26" s="80" t="s">
        <v>242</v>
      </c>
      <c r="D26" s="449">
        <v>2000</v>
      </c>
      <c r="E26" s="80" t="s">
        <v>242</v>
      </c>
    </row>
    <row r="27" spans="1:5">
      <c r="A27" s="113" t="s">
        <v>1111</v>
      </c>
      <c r="B27" s="80" t="s">
        <v>242</v>
      </c>
      <c r="C27" s="80" t="s">
        <v>242</v>
      </c>
      <c r="D27" s="186" t="s">
        <v>242</v>
      </c>
      <c r="E27" s="80" t="s">
        <v>242</v>
      </c>
    </row>
    <row r="28" spans="1:5" ht="16.2" thickBot="1">
      <c r="A28" s="290" t="s">
        <v>1112</v>
      </c>
      <c r="B28" s="61">
        <v>4000</v>
      </c>
      <c r="C28" s="196" t="s">
        <v>242</v>
      </c>
      <c r="D28" s="439">
        <v>4000</v>
      </c>
      <c r="E28" s="196" t="s">
        <v>242</v>
      </c>
    </row>
    <row r="29" spans="1:5">
      <c r="A29" s="631" t="s">
        <v>1396</v>
      </c>
      <c r="B29" s="631"/>
      <c r="C29" s="631"/>
      <c r="D29" s="631"/>
      <c r="E29" s="631"/>
    </row>
    <row r="30" spans="1:5" ht="16.2" thickBot="1">
      <c r="A30" s="621" t="s">
        <v>1033</v>
      </c>
      <c r="B30" s="621"/>
      <c r="C30" s="621"/>
      <c r="D30" s="621"/>
      <c r="E30" s="621"/>
    </row>
    <row r="31" spans="1:5">
      <c r="A31" s="443" t="s">
        <v>1113</v>
      </c>
      <c r="B31" s="194">
        <v>3000</v>
      </c>
      <c r="C31" s="356" t="s">
        <v>242</v>
      </c>
      <c r="D31" s="352">
        <v>3000</v>
      </c>
      <c r="E31" s="356" t="s">
        <v>242</v>
      </c>
    </row>
    <row r="32" spans="1:5">
      <c r="A32" s="113" t="s">
        <v>1114</v>
      </c>
      <c r="B32" s="58">
        <v>2000</v>
      </c>
      <c r="C32" s="80" t="s">
        <v>242</v>
      </c>
      <c r="D32" s="190">
        <v>2000</v>
      </c>
      <c r="E32" s="80" t="s">
        <v>242</v>
      </c>
    </row>
    <row r="33" spans="1:5">
      <c r="A33" s="113" t="s">
        <v>1115</v>
      </c>
      <c r="B33" s="58">
        <v>2000</v>
      </c>
      <c r="C33" s="80" t="s">
        <v>242</v>
      </c>
      <c r="D33" s="190">
        <v>2000</v>
      </c>
      <c r="E33" s="80" t="s">
        <v>242</v>
      </c>
    </row>
    <row r="34" spans="1:5">
      <c r="A34" s="113" t="s">
        <v>1116</v>
      </c>
      <c r="B34" s="58">
        <v>5000</v>
      </c>
      <c r="C34" s="80" t="s">
        <v>242</v>
      </c>
      <c r="D34" s="190">
        <v>5000</v>
      </c>
      <c r="E34" s="80" t="s">
        <v>242</v>
      </c>
    </row>
    <row r="35" spans="1:5">
      <c r="A35" s="113" t="s">
        <v>1117</v>
      </c>
      <c r="B35" s="58">
        <v>2000</v>
      </c>
      <c r="C35" s="80" t="s">
        <v>242</v>
      </c>
      <c r="D35" s="190">
        <v>2000</v>
      </c>
      <c r="E35" s="80" t="s">
        <v>242</v>
      </c>
    </row>
    <row r="36" spans="1:5">
      <c r="A36" s="113" t="s">
        <v>1118</v>
      </c>
      <c r="B36" s="58">
        <v>2000</v>
      </c>
      <c r="C36" s="80" t="s">
        <v>242</v>
      </c>
      <c r="D36" s="190">
        <v>2000</v>
      </c>
      <c r="E36" s="80" t="s">
        <v>242</v>
      </c>
    </row>
    <row r="37" spans="1:5">
      <c r="A37" s="113" t="s">
        <v>1119</v>
      </c>
      <c r="B37" s="58">
        <v>2000</v>
      </c>
      <c r="C37" s="80" t="s">
        <v>242</v>
      </c>
      <c r="D37" s="190">
        <v>2000</v>
      </c>
      <c r="E37" s="80" t="s">
        <v>242</v>
      </c>
    </row>
    <row r="38" spans="1:5">
      <c r="A38" s="113" t="s">
        <v>1120</v>
      </c>
      <c r="B38" s="58">
        <v>7000</v>
      </c>
      <c r="C38" s="80" t="s">
        <v>242</v>
      </c>
      <c r="D38" s="190">
        <v>4000</v>
      </c>
      <c r="E38" s="80" t="s">
        <v>242</v>
      </c>
    </row>
    <row r="39" spans="1:5">
      <c r="A39" s="108" t="s">
        <v>1121</v>
      </c>
      <c r="B39" s="186" t="s">
        <v>242</v>
      </c>
      <c r="C39" s="80" t="s">
        <v>242</v>
      </c>
      <c r="D39" s="190">
        <v>2500</v>
      </c>
      <c r="E39" s="80" t="s">
        <v>242</v>
      </c>
    </row>
    <row r="40" spans="1:5">
      <c r="A40" s="108" t="s">
        <v>1122</v>
      </c>
      <c r="B40" s="190">
        <v>15000</v>
      </c>
      <c r="C40" s="80" t="s">
        <v>242</v>
      </c>
      <c r="D40" s="190">
        <f>5000+10000</f>
        <v>15000</v>
      </c>
      <c r="E40" s="80" t="s">
        <v>242</v>
      </c>
    </row>
    <row r="41" spans="1:5">
      <c r="A41" s="108" t="s">
        <v>1123</v>
      </c>
      <c r="B41" s="186" t="s">
        <v>242</v>
      </c>
      <c r="C41" s="80" t="s">
        <v>242</v>
      </c>
      <c r="D41" s="186" t="s">
        <v>242</v>
      </c>
      <c r="E41" s="80" t="s">
        <v>242</v>
      </c>
    </row>
    <row r="42" spans="1:5">
      <c r="A42" s="108" t="s">
        <v>1124</v>
      </c>
      <c r="B42" s="190">
        <v>4000</v>
      </c>
      <c r="C42" s="80" t="s">
        <v>242</v>
      </c>
      <c r="D42" s="190">
        <v>2000</v>
      </c>
      <c r="E42" s="80" t="s">
        <v>242</v>
      </c>
    </row>
    <row r="43" spans="1:5">
      <c r="A43" s="113" t="s">
        <v>1125</v>
      </c>
      <c r="B43" s="58">
        <v>5000</v>
      </c>
      <c r="C43" s="80" t="s">
        <v>242</v>
      </c>
      <c r="D43" s="190">
        <f>3000+2000</f>
        <v>5000</v>
      </c>
      <c r="E43" s="80" t="s">
        <v>242</v>
      </c>
    </row>
    <row r="44" spans="1:5">
      <c r="A44" s="113" t="s">
        <v>1126</v>
      </c>
      <c r="B44" s="58">
        <v>2000</v>
      </c>
      <c r="C44" s="80" t="s">
        <v>242</v>
      </c>
      <c r="D44" s="190">
        <v>2000</v>
      </c>
      <c r="E44" s="80" t="s">
        <v>242</v>
      </c>
    </row>
    <row r="45" spans="1:5">
      <c r="A45" s="113" t="s">
        <v>1127</v>
      </c>
      <c r="B45" s="58">
        <v>5000</v>
      </c>
      <c r="C45" s="80" t="s">
        <v>242</v>
      </c>
      <c r="D45" s="190">
        <v>5000</v>
      </c>
      <c r="E45" s="80" t="s">
        <v>242</v>
      </c>
    </row>
    <row r="46" spans="1:5">
      <c r="A46" s="113" t="s">
        <v>1128</v>
      </c>
      <c r="B46" s="58">
        <v>2000</v>
      </c>
      <c r="C46" s="80" t="s">
        <v>242</v>
      </c>
      <c r="D46" s="190">
        <v>2000</v>
      </c>
      <c r="E46" s="80" t="s">
        <v>242</v>
      </c>
    </row>
    <row r="47" spans="1:5">
      <c r="A47" s="113" t="s">
        <v>1129</v>
      </c>
      <c r="B47" s="58">
        <v>2000</v>
      </c>
      <c r="C47" s="80" t="s">
        <v>242</v>
      </c>
      <c r="D47" s="190">
        <v>2000</v>
      </c>
      <c r="E47" s="80" t="s">
        <v>242</v>
      </c>
    </row>
    <row r="48" spans="1:5">
      <c r="A48" s="113" t="s">
        <v>1130</v>
      </c>
      <c r="B48" s="58">
        <v>2000</v>
      </c>
      <c r="C48" s="80" t="s">
        <v>242</v>
      </c>
      <c r="D48" s="190">
        <v>2000</v>
      </c>
      <c r="E48" s="80" t="s">
        <v>242</v>
      </c>
    </row>
    <row r="49" spans="1:6">
      <c r="A49" s="115" t="s">
        <v>1131</v>
      </c>
      <c r="B49" s="63">
        <v>2000</v>
      </c>
      <c r="C49" s="467" t="s">
        <v>242</v>
      </c>
      <c r="D49" s="444">
        <v>2000</v>
      </c>
      <c r="E49" s="467" t="s">
        <v>242</v>
      </c>
    </row>
    <row r="50" spans="1:6">
      <c r="A50" s="115" t="s">
        <v>1424</v>
      </c>
      <c r="B50" s="63">
        <v>2000</v>
      </c>
      <c r="C50" s="467" t="s">
        <v>242</v>
      </c>
      <c r="D50" s="186" t="s">
        <v>242</v>
      </c>
      <c r="E50" s="467" t="s">
        <v>242</v>
      </c>
    </row>
    <row r="51" spans="1:6">
      <c r="A51" s="115" t="s">
        <v>1425</v>
      </c>
      <c r="B51" s="63">
        <v>2000</v>
      </c>
      <c r="C51" s="467" t="s">
        <v>242</v>
      </c>
      <c r="D51" s="186" t="s">
        <v>242</v>
      </c>
      <c r="E51" s="467" t="s">
        <v>242</v>
      </c>
    </row>
    <row r="52" spans="1:6">
      <c r="A52" s="115" t="s">
        <v>1426</v>
      </c>
      <c r="B52" s="63">
        <v>2000</v>
      </c>
      <c r="C52" s="467" t="s">
        <v>242</v>
      </c>
      <c r="D52" s="186" t="s">
        <v>242</v>
      </c>
      <c r="E52" s="467" t="s">
        <v>242</v>
      </c>
    </row>
    <row r="53" spans="1:6">
      <c r="A53" s="115" t="s">
        <v>1427</v>
      </c>
      <c r="B53" s="63">
        <v>2000</v>
      </c>
      <c r="C53" s="467" t="s">
        <v>242</v>
      </c>
      <c r="D53" s="186" t="s">
        <v>242</v>
      </c>
      <c r="E53" s="467" t="s">
        <v>242</v>
      </c>
    </row>
    <row r="54" spans="1:6">
      <c r="A54" s="115" t="s">
        <v>1428</v>
      </c>
      <c r="B54" s="63">
        <v>2000</v>
      </c>
      <c r="C54" s="467" t="s">
        <v>242</v>
      </c>
      <c r="D54" s="186" t="s">
        <v>242</v>
      </c>
      <c r="E54" s="467" t="s">
        <v>242</v>
      </c>
    </row>
    <row r="55" spans="1:6" ht="16.2" thickBot="1">
      <c r="A55" s="290" t="s">
        <v>1429</v>
      </c>
      <c r="B55" s="61">
        <v>5000</v>
      </c>
      <c r="C55" s="196" t="s">
        <v>242</v>
      </c>
      <c r="D55" s="196" t="s">
        <v>242</v>
      </c>
      <c r="E55" s="196" t="s">
        <v>242</v>
      </c>
    </row>
    <row r="56" spans="1:6">
      <c r="A56" s="631" t="s">
        <v>1397</v>
      </c>
      <c r="B56" s="631"/>
      <c r="C56" s="631"/>
      <c r="D56" s="631"/>
      <c r="E56" s="631"/>
    </row>
    <row r="57" spans="1:6">
      <c r="A57" s="621" t="s">
        <v>1034</v>
      </c>
      <c r="B57" s="621"/>
      <c r="C57" s="621"/>
      <c r="D57" s="621"/>
      <c r="E57" s="621"/>
    </row>
    <row r="58" spans="1:6">
      <c r="A58" s="629" t="s">
        <v>261</v>
      </c>
      <c r="B58" s="629"/>
      <c r="C58" s="629"/>
      <c r="D58" s="629"/>
      <c r="E58" s="629"/>
    </row>
    <row r="59" spans="1:6">
      <c r="A59" s="498"/>
      <c r="B59" s="120"/>
      <c r="C59" s="498"/>
      <c r="D59" s="120"/>
      <c r="E59" s="498"/>
    </row>
    <row r="60" spans="1:6">
      <c r="A60" s="630" t="s">
        <v>1415</v>
      </c>
      <c r="B60" s="630"/>
      <c r="C60" s="630"/>
      <c r="D60" s="630"/>
      <c r="E60" s="630"/>
    </row>
    <row r="61" spans="1:6">
      <c r="A61" s="499"/>
      <c r="B61" s="121"/>
      <c r="C61" s="499"/>
      <c r="D61" s="598" t="s">
        <v>1393</v>
      </c>
      <c r="E61" s="598"/>
    </row>
    <row r="62" spans="1:6" ht="16.2" thickBot="1"/>
    <row r="63" spans="1:6" ht="16.2" thickBot="1">
      <c r="A63" s="107" t="s">
        <v>101</v>
      </c>
      <c r="B63" s="626" t="s">
        <v>420</v>
      </c>
      <c r="C63" s="627"/>
      <c r="D63" s="628" t="s">
        <v>421</v>
      </c>
      <c r="E63" s="593"/>
    </row>
    <row r="64" spans="1:6">
      <c r="A64" s="286" t="s">
        <v>544</v>
      </c>
      <c r="B64" s="194"/>
      <c r="C64" s="203"/>
      <c r="D64" s="281"/>
      <c r="E64" s="203"/>
      <c r="F64" s="38"/>
    </row>
    <row r="65" spans="1:6" s="36" customFormat="1">
      <c r="A65" s="284" t="s">
        <v>367</v>
      </c>
      <c r="B65" s="58">
        <v>259</v>
      </c>
      <c r="C65" s="80" t="s">
        <v>242</v>
      </c>
      <c r="D65" s="190">
        <v>259</v>
      </c>
      <c r="E65" s="80" t="s">
        <v>242</v>
      </c>
      <c r="F65" s="39"/>
    </row>
    <row r="66" spans="1:6" s="36" customFormat="1">
      <c r="A66" s="284" t="s">
        <v>368</v>
      </c>
      <c r="B66" s="58">
        <v>431</v>
      </c>
      <c r="C66" s="80" t="s">
        <v>242</v>
      </c>
      <c r="D66" s="190">
        <v>45841</v>
      </c>
      <c r="E66" s="80" t="s">
        <v>242</v>
      </c>
      <c r="F66" s="39"/>
    </row>
    <row r="67" spans="1:6" s="36" customFormat="1">
      <c r="A67" s="284" t="s">
        <v>369</v>
      </c>
      <c r="B67" s="58">
        <v>30000</v>
      </c>
      <c r="C67" s="80" t="s">
        <v>242</v>
      </c>
      <c r="D67" s="190">
        <v>30000</v>
      </c>
      <c r="E67" s="80" t="s">
        <v>242</v>
      </c>
    </row>
    <row r="68" spans="1:6" ht="14.25" customHeight="1">
      <c r="A68" s="284" t="s">
        <v>310</v>
      </c>
      <c r="B68" s="58">
        <v>1248</v>
      </c>
      <c r="C68" s="80" t="s">
        <v>242</v>
      </c>
      <c r="D68" s="186" t="s">
        <v>242</v>
      </c>
      <c r="E68" s="80" t="s">
        <v>242</v>
      </c>
    </row>
    <row r="69" spans="1:6" ht="14.25" customHeight="1">
      <c r="A69" s="284" t="s">
        <v>1132</v>
      </c>
      <c r="B69" s="58">
        <v>11577</v>
      </c>
      <c r="C69" s="80" t="s">
        <v>242</v>
      </c>
      <c r="D69" s="186" t="s">
        <v>242</v>
      </c>
      <c r="E69" s="80" t="s">
        <v>242</v>
      </c>
    </row>
    <row r="70" spans="1:6">
      <c r="A70" s="284"/>
      <c r="B70" s="58"/>
      <c r="C70" s="195">
        <f>SUM(B21:B28,B31:B55,B65:B70)</f>
        <v>141515</v>
      </c>
      <c r="D70" s="190"/>
      <c r="E70" s="195">
        <f>SUM(D21:D28,D31:D50,D65:D68)</f>
        <v>156600</v>
      </c>
    </row>
    <row r="71" spans="1:6">
      <c r="A71" s="113" t="s">
        <v>509</v>
      </c>
      <c r="B71" s="58"/>
      <c r="C71" s="108"/>
      <c r="D71" s="190"/>
      <c r="E71" s="80"/>
    </row>
    <row r="72" spans="1:6" s="36" customFormat="1">
      <c r="A72" s="284" t="s">
        <v>370</v>
      </c>
      <c r="B72" s="58">
        <v>56276995.990000002</v>
      </c>
      <c r="C72" s="80" t="s">
        <v>242</v>
      </c>
      <c r="D72" s="190">
        <v>247010630.99000001</v>
      </c>
      <c r="E72" s="80" t="s">
        <v>242</v>
      </c>
    </row>
    <row r="73" spans="1:6" s="36" customFormat="1">
      <c r="A73" s="284" t="s">
        <v>1098</v>
      </c>
      <c r="B73" s="58">
        <v>897.37</v>
      </c>
      <c r="C73" s="80" t="s">
        <v>242</v>
      </c>
      <c r="D73" s="190">
        <v>897.37</v>
      </c>
      <c r="E73" s="80" t="s">
        <v>242</v>
      </c>
    </row>
    <row r="74" spans="1:6" s="36" customFormat="1">
      <c r="A74" s="284" t="s">
        <v>1133</v>
      </c>
      <c r="B74" s="58">
        <v>249773</v>
      </c>
      <c r="C74" s="80" t="s">
        <v>242</v>
      </c>
      <c r="D74" s="190">
        <f>2053496-1</f>
        <v>2053495</v>
      </c>
      <c r="E74" s="80" t="s">
        <v>242</v>
      </c>
    </row>
    <row r="75" spans="1:6" s="36" customFormat="1">
      <c r="A75" s="284" t="s">
        <v>1134</v>
      </c>
      <c r="B75" s="58">
        <v>500000</v>
      </c>
      <c r="C75" s="80" t="s">
        <v>242</v>
      </c>
      <c r="D75" s="190">
        <v>500000</v>
      </c>
      <c r="E75" s="80" t="s">
        <v>242</v>
      </c>
    </row>
    <row r="76" spans="1:6" s="36" customFormat="1">
      <c r="A76" s="284" t="s">
        <v>1135</v>
      </c>
      <c r="B76" s="58">
        <v>1993</v>
      </c>
      <c r="C76" s="80" t="s">
        <v>242</v>
      </c>
      <c r="D76" s="190">
        <v>228451</v>
      </c>
      <c r="E76" s="80" t="s">
        <v>242</v>
      </c>
    </row>
    <row r="77" spans="1:6" s="36" customFormat="1">
      <c r="A77" s="284" t="s">
        <v>1136</v>
      </c>
      <c r="B77" s="58">
        <v>3097623</v>
      </c>
      <c r="C77" s="80" t="s">
        <v>242</v>
      </c>
      <c r="D77" s="190">
        <v>2503257</v>
      </c>
      <c r="E77" s="80" t="s">
        <v>242</v>
      </c>
    </row>
    <row r="78" spans="1:6" s="36" customFormat="1">
      <c r="A78" s="284" t="s">
        <v>1137</v>
      </c>
      <c r="B78" s="58">
        <f>573147-40000</f>
        <v>533147</v>
      </c>
      <c r="C78" s="80" t="s">
        <v>242</v>
      </c>
      <c r="D78" s="190">
        <v>1476254</v>
      </c>
      <c r="E78" s="80" t="s">
        <v>242</v>
      </c>
    </row>
    <row r="79" spans="1:6" s="36" customFormat="1">
      <c r="A79" s="284" t="s">
        <v>1138</v>
      </c>
      <c r="B79" s="58">
        <v>0</v>
      </c>
      <c r="C79" s="80" t="s">
        <v>242</v>
      </c>
      <c r="D79" s="190">
        <v>102994</v>
      </c>
      <c r="E79" s="80" t="s">
        <v>242</v>
      </c>
    </row>
    <row r="80" spans="1:6">
      <c r="A80" s="284" t="s">
        <v>1139</v>
      </c>
      <c r="B80" s="58">
        <v>18790964</v>
      </c>
      <c r="C80" s="80" t="s">
        <v>242</v>
      </c>
      <c r="D80" s="190">
        <v>14833892</v>
      </c>
      <c r="E80" s="80" t="s">
        <v>242</v>
      </c>
    </row>
    <row r="81" spans="1:6" s="36" customFormat="1">
      <c r="A81" s="284" t="s">
        <v>1140</v>
      </c>
      <c r="B81" s="58">
        <v>125500</v>
      </c>
      <c r="C81" s="80" t="s">
        <v>242</v>
      </c>
      <c r="D81" s="190">
        <v>249600</v>
      </c>
      <c r="E81" s="80" t="s">
        <v>242</v>
      </c>
    </row>
    <row r="82" spans="1:6" s="36" customFormat="1">
      <c r="A82" s="284" t="s">
        <v>1141</v>
      </c>
      <c r="B82" s="58">
        <v>2571773</v>
      </c>
      <c r="C82" s="80" t="s">
        <v>242</v>
      </c>
      <c r="D82" s="190">
        <v>1977661</v>
      </c>
      <c r="E82" s="80" t="s">
        <v>242</v>
      </c>
      <c r="F82" s="39"/>
    </row>
    <row r="83" spans="1:6" s="36" customFormat="1">
      <c r="A83" s="284" t="s">
        <v>1142</v>
      </c>
      <c r="B83" s="58">
        <v>226577</v>
      </c>
      <c r="C83" s="80" t="s">
        <v>242</v>
      </c>
      <c r="D83" s="190">
        <v>193016</v>
      </c>
      <c r="E83" s="80" t="s">
        <v>242</v>
      </c>
    </row>
    <row r="84" spans="1:6" s="36" customFormat="1">
      <c r="A84" s="284" t="s">
        <v>1143</v>
      </c>
      <c r="B84" s="58">
        <v>8083682</v>
      </c>
      <c r="C84" s="80" t="s">
        <v>242</v>
      </c>
      <c r="D84" s="190">
        <v>6438664</v>
      </c>
      <c r="E84" s="80" t="s">
        <v>242</v>
      </c>
    </row>
    <row r="85" spans="1:6" s="36" customFormat="1">
      <c r="A85" s="284" t="s">
        <v>1144</v>
      </c>
      <c r="B85" s="58">
        <v>5804055</v>
      </c>
      <c r="C85" s="80" t="s">
        <v>242</v>
      </c>
      <c r="D85" s="190">
        <v>4375256</v>
      </c>
      <c r="E85" s="80" t="s">
        <v>242</v>
      </c>
    </row>
    <row r="86" spans="1:6" s="36" customFormat="1">
      <c r="A86" s="284" t="s">
        <v>1145</v>
      </c>
      <c r="B86" s="58">
        <v>853389.5</v>
      </c>
      <c r="C86" s="80" t="s">
        <v>242</v>
      </c>
      <c r="D86" s="190">
        <v>166614.5</v>
      </c>
      <c r="E86" s="80" t="s">
        <v>242</v>
      </c>
    </row>
    <row r="87" spans="1:6" s="36" customFormat="1">
      <c r="A87" s="113" t="s">
        <v>1146</v>
      </c>
      <c r="B87" s="58">
        <v>52397</v>
      </c>
      <c r="C87" s="80" t="s">
        <v>242</v>
      </c>
      <c r="D87" s="186" t="s">
        <v>242</v>
      </c>
      <c r="E87" s="80" t="s">
        <v>242</v>
      </c>
    </row>
    <row r="88" spans="1:6" s="36" customFormat="1">
      <c r="A88" s="113" t="s">
        <v>1147</v>
      </c>
      <c r="B88" s="58">
        <v>13973</v>
      </c>
      <c r="C88" s="80" t="s">
        <v>242</v>
      </c>
      <c r="D88" s="190">
        <v>13431</v>
      </c>
      <c r="E88" s="80" t="s">
        <v>242</v>
      </c>
    </row>
    <row r="89" spans="1:6" s="36" customFormat="1">
      <c r="A89" s="113" t="s">
        <v>1148</v>
      </c>
      <c r="B89" s="58">
        <f>1112668+40000</f>
        <v>1152668</v>
      </c>
      <c r="C89" s="80" t="s">
        <v>242</v>
      </c>
      <c r="D89" s="190">
        <v>279598</v>
      </c>
      <c r="E89" s="80" t="s">
        <v>242</v>
      </c>
    </row>
    <row r="90" spans="1:6" s="36" customFormat="1" ht="16.2" thickBot="1">
      <c r="A90" s="287" t="s">
        <v>1149</v>
      </c>
      <c r="B90" s="61">
        <v>184223</v>
      </c>
      <c r="C90" s="196" t="s">
        <v>242</v>
      </c>
      <c r="D90" s="439">
        <v>191277</v>
      </c>
      <c r="E90" s="196" t="s">
        <v>242</v>
      </c>
      <c r="F90" s="39"/>
    </row>
    <row r="91" spans="1:6" s="36" customFormat="1">
      <c r="A91" s="631" t="s">
        <v>1398</v>
      </c>
      <c r="B91" s="631"/>
      <c r="C91" s="631"/>
      <c r="D91" s="631"/>
      <c r="E91" s="631"/>
      <c r="F91" s="39"/>
    </row>
    <row r="92" spans="1:6" s="36" customFormat="1" ht="16.2" thickBot="1">
      <c r="A92" s="621" t="s">
        <v>1035</v>
      </c>
      <c r="B92" s="621"/>
      <c r="C92" s="621"/>
      <c r="D92" s="621"/>
      <c r="E92" s="621"/>
      <c r="F92" s="39"/>
    </row>
    <row r="93" spans="1:6" s="36" customFormat="1">
      <c r="A93" s="450" t="s">
        <v>1332</v>
      </c>
      <c r="B93" s="58">
        <v>1139</v>
      </c>
      <c r="C93" s="356" t="s">
        <v>242</v>
      </c>
      <c r="D93" s="352">
        <v>1097</v>
      </c>
      <c r="E93" s="356" t="s">
        <v>242</v>
      </c>
      <c r="F93" s="39"/>
    </row>
    <row r="94" spans="1:6" s="36" customFormat="1">
      <c r="A94" s="284" t="s">
        <v>429</v>
      </c>
      <c r="B94" s="58"/>
      <c r="C94" s="265"/>
      <c r="D94" s="451"/>
      <c r="E94" s="265"/>
      <c r="F94" s="39"/>
    </row>
    <row r="95" spans="1:6" s="36" customFormat="1">
      <c r="A95" s="284" t="s">
        <v>1333</v>
      </c>
      <c r="B95" s="58">
        <v>6909741</v>
      </c>
      <c r="C95" s="80" t="s">
        <v>242</v>
      </c>
      <c r="D95" s="190">
        <v>6293863</v>
      </c>
      <c r="E95" s="80" t="s">
        <v>242</v>
      </c>
      <c r="F95" s="39"/>
    </row>
    <row r="96" spans="1:6" s="36" customFormat="1">
      <c r="A96" s="284" t="s">
        <v>1334</v>
      </c>
      <c r="B96" s="58">
        <v>1570905</v>
      </c>
      <c r="C96" s="80" t="s">
        <v>242</v>
      </c>
      <c r="D96" s="190">
        <v>476662</v>
      </c>
      <c r="E96" s="80" t="s">
        <v>242</v>
      </c>
      <c r="F96" s="39"/>
    </row>
    <row r="97" spans="1:9" s="36" customFormat="1">
      <c r="A97" s="284" t="s">
        <v>1335</v>
      </c>
      <c r="B97" s="58">
        <v>377500</v>
      </c>
      <c r="C97" s="80" t="s">
        <v>242</v>
      </c>
      <c r="D97" s="190">
        <v>377500</v>
      </c>
      <c r="E97" s="80" t="s">
        <v>242</v>
      </c>
      <c r="F97" s="39"/>
    </row>
    <row r="98" spans="1:9" s="36" customFormat="1">
      <c r="A98" s="284" t="s">
        <v>1336</v>
      </c>
      <c r="B98" s="58">
        <v>22209</v>
      </c>
      <c r="C98" s="80" t="s">
        <v>242</v>
      </c>
      <c r="D98" s="190">
        <v>24564</v>
      </c>
      <c r="E98" s="80" t="s">
        <v>242</v>
      </c>
      <c r="F98" s="39"/>
    </row>
    <row r="99" spans="1:9" s="36" customFormat="1">
      <c r="A99" s="284" t="s">
        <v>1337</v>
      </c>
      <c r="B99" s="58">
        <v>8357912</v>
      </c>
      <c r="C99" s="80" t="s">
        <v>242</v>
      </c>
      <c r="D99" s="190">
        <v>23452360</v>
      </c>
      <c r="E99" s="80" t="s">
        <v>242</v>
      </c>
      <c r="F99" s="39"/>
    </row>
    <row r="100" spans="1:9" s="36" customFormat="1">
      <c r="A100" s="284" t="s">
        <v>1338</v>
      </c>
      <c r="B100" s="58">
        <v>1887467</v>
      </c>
      <c r="C100" s="80" t="s">
        <v>242</v>
      </c>
      <c r="D100" s="190">
        <v>4402423</v>
      </c>
      <c r="E100" s="80" t="s">
        <v>242</v>
      </c>
      <c r="F100" s="39"/>
    </row>
    <row r="101" spans="1:9">
      <c r="A101" s="350" t="s">
        <v>1339</v>
      </c>
      <c r="B101" s="58">
        <v>52188</v>
      </c>
      <c r="C101" s="80" t="s">
        <v>242</v>
      </c>
      <c r="D101" s="190">
        <v>158119</v>
      </c>
      <c r="E101" s="80" t="s">
        <v>242</v>
      </c>
      <c r="F101" s="38"/>
      <c r="I101" s="312"/>
    </row>
    <row r="102" spans="1:9">
      <c r="A102" s="350" t="s">
        <v>1387</v>
      </c>
      <c r="B102" s="58">
        <v>666100</v>
      </c>
      <c r="C102" s="80" t="s">
        <v>242</v>
      </c>
      <c r="D102" s="190">
        <v>134896</v>
      </c>
      <c r="E102" s="80" t="s">
        <v>242</v>
      </c>
      <c r="F102" s="38"/>
      <c r="I102" s="345"/>
    </row>
    <row r="103" spans="1:9">
      <c r="A103" s="284" t="s">
        <v>1448</v>
      </c>
      <c r="B103" s="58">
        <v>194571</v>
      </c>
      <c r="C103" s="195">
        <f>SUM(B72:B90,B93:B103)</f>
        <v>118559362.86</v>
      </c>
      <c r="D103" s="190"/>
      <c r="E103" s="195">
        <f>SUM(D72:D90,D93:D102)</f>
        <v>317916472.86000001</v>
      </c>
      <c r="F103" s="38"/>
    </row>
    <row r="104" spans="1:9">
      <c r="A104" s="463"/>
      <c r="B104" s="571"/>
      <c r="C104" s="108"/>
      <c r="D104" s="190"/>
      <c r="E104" s="58"/>
    </row>
    <row r="105" spans="1:9">
      <c r="A105" s="108" t="s">
        <v>510</v>
      </c>
      <c r="B105" s="186" t="s">
        <v>242</v>
      </c>
      <c r="C105" s="80" t="s">
        <v>242</v>
      </c>
      <c r="D105" s="186" t="s">
        <v>242</v>
      </c>
      <c r="E105" s="80" t="s">
        <v>242</v>
      </c>
    </row>
    <row r="106" spans="1:9">
      <c r="A106" s="108" t="s">
        <v>355</v>
      </c>
      <c r="B106" s="186" t="s">
        <v>242</v>
      </c>
      <c r="C106" s="80" t="s">
        <v>242</v>
      </c>
      <c r="D106" s="186" t="s">
        <v>242</v>
      </c>
      <c r="E106" s="80" t="s">
        <v>242</v>
      </c>
    </row>
    <row r="107" spans="1:9">
      <c r="A107" s="108" t="s">
        <v>356</v>
      </c>
      <c r="B107" s="186" t="s">
        <v>242</v>
      </c>
      <c r="C107" s="80" t="s">
        <v>242</v>
      </c>
      <c r="D107" s="186" t="s">
        <v>242</v>
      </c>
      <c r="E107" s="80" t="s">
        <v>242</v>
      </c>
    </row>
    <row r="108" spans="1:9">
      <c r="A108" s="108" t="s">
        <v>357</v>
      </c>
      <c r="B108" s="186" t="s">
        <v>242</v>
      </c>
      <c r="C108" s="80" t="s">
        <v>242</v>
      </c>
      <c r="D108" s="186" t="s">
        <v>242</v>
      </c>
      <c r="E108" s="80" t="s">
        <v>242</v>
      </c>
    </row>
    <row r="109" spans="1:9">
      <c r="A109" s="108"/>
      <c r="B109" s="186"/>
      <c r="C109" s="80"/>
      <c r="D109" s="186"/>
      <c r="E109" s="80"/>
    </row>
    <row r="110" spans="1:9">
      <c r="A110" s="108" t="s">
        <v>511</v>
      </c>
      <c r="B110" s="186" t="s">
        <v>242</v>
      </c>
      <c r="C110" s="80" t="s">
        <v>242</v>
      </c>
      <c r="D110" s="186" t="s">
        <v>242</v>
      </c>
      <c r="E110" s="80" t="s">
        <v>242</v>
      </c>
    </row>
    <row r="111" spans="1:9" ht="16.2" thickBot="1">
      <c r="A111" s="262"/>
      <c r="B111" s="439"/>
      <c r="C111" s="262"/>
      <c r="D111" s="444"/>
      <c r="E111" s="262"/>
      <c r="F111" s="38"/>
    </row>
    <row r="112" spans="1:9" ht="16.2" thickBot="1">
      <c r="A112" s="249" t="s">
        <v>17</v>
      </c>
      <c r="B112" s="448"/>
      <c r="C112" s="187">
        <f>B8+C70+C103</f>
        <v>137130425.15000001</v>
      </c>
      <c r="D112" s="187"/>
      <c r="E112" s="187">
        <f>D8+E70+E103</f>
        <v>353484769.18000001</v>
      </c>
    </row>
    <row r="113" spans="1:5">
      <c r="A113" s="400"/>
      <c r="B113" s="65"/>
      <c r="C113" s="66"/>
      <c r="D113" s="66"/>
      <c r="E113" s="66"/>
    </row>
    <row r="114" spans="1:5">
      <c r="A114" s="400"/>
      <c r="B114" s="65"/>
      <c r="C114" s="66"/>
      <c r="D114" s="66"/>
      <c r="E114" s="66"/>
    </row>
    <row r="115" spans="1:5">
      <c r="A115" s="400"/>
      <c r="B115" s="65"/>
      <c r="C115" s="66"/>
      <c r="D115" s="66"/>
      <c r="E115" s="66"/>
    </row>
    <row r="116" spans="1:5">
      <c r="A116" s="400"/>
      <c r="B116" s="65"/>
      <c r="C116" s="66"/>
      <c r="D116" s="66"/>
      <c r="E116" s="66"/>
    </row>
    <row r="117" spans="1:5">
      <c r="A117" s="400"/>
      <c r="B117" s="65"/>
      <c r="C117" s="66"/>
      <c r="D117" s="66"/>
      <c r="E117" s="66"/>
    </row>
    <row r="118" spans="1:5">
      <c r="C118" s="38"/>
    </row>
    <row r="119" spans="1:5">
      <c r="A119" s="648" t="s">
        <v>1036</v>
      </c>
      <c r="B119" s="648"/>
      <c r="C119" s="648"/>
      <c r="D119" s="648"/>
      <c r="E119" s="648"/>
    </row>
    <row r="120" spans="1:5">
      <c r="C120" s="38"/>
    </row>
    <row r="121" spans="1:5">
      <c r="C121" s="38"/>
    </row>
    <row r="122" spans="1:5">
      <c r="C122" s="38"/>
    </row>
  </sheetData>
  <mergeCells count="17">
    <mergeCell ref="A92:E92"/>
    <mergeCell ref="A119:E119"/>
    <mergeCell ref="B63:C63"/>
    <mergeCell ref="D63:E63"/>
    <mergeCell ref="D61:E61"/>
    <mergeCell ref="A30:E30"/>
    <mergeCell ref="A29:E29"/>
    <mergeCell ref="A57:E57"/>
    <mergeCell ref="A91:E91"/>
    <mergeCell ref="A1:E1"/>
    <mergeCell ref="A3:E3"/>
    <mergeCell ref="A56:E56"/>
    <mergeCell ref="A58:E58"/>
    <mergeCell ref="A60:E60"/>
    <mergeCell ref="D4:E4"/>
    <mergeCell ref="B5:C5"/>
    <mergeCell ref="D5:E5"/>
  </mergeCells>
  <phoneticPr fontId="0" type="noConversion"/>
  <printOptions horizontalCentered="1"/>
  <pageMargins left="0.98425196850393704" right="0.51181102362204722" top="0.74803149606299213" bottom="0.23622047244094491" header="0" footer="0"/>
  <pageSetup paperSize="9" scale="95" orientation="landscape" horizontalDpi="300" verticalDpi="300" r:id="rId1"/>
  <headerFooter alignWithMargins="0"/>
  <rowBreaks count="3" manualBreakCount="3">
    <brk id="30" max="4" man="1"/>
    <brk id="57" max="4" man="1"/>
    <brk id="92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rgb="FFFF0000"/>
  </sheetPr>
  <dimension ref="A1:H112"/>
  <sheetViews>
    <sheetView view="pageBreakPreview" topLeftCell="A85" zoomScaleSheetLayoutView="100" workbookViewId="0">
      <selection activeCell="F98" sqref="F98"/>
    </sheetView>
  </sheetViews>
  <sheetFormatPr defaultColWidth="9.109375" defaultRowHeight="15.6"/>
  <cols>
    <col min="1" max="1" width="73.33203125" style="37" customWidth="1"/>
    <col min="2" max="2" width="15" style="38" customWidth="1"/>
    <col min="3" max="5" width="15" style="37" customWidth="1"/>
    <col min="6" max="6" width="14.33203125" style="37" customWidth="1"/>
    <col min="7" max="7" width="9.109375" style="37"/>
    <col min="8" max="8" width="12.5546875" style="37" bestFit="1" customWidth="1"/>
    <col min="9" max="16384" width="9.109375" style="37"/>
  </cols>
  <sheetData>
    <row r="1" spans="1:5" ht="15.75" customHeight="1">
      <c r="A1" s="629" t="s">
        <v>261</v>
      </c>
      <c r="B1" s="629"/>
      <c r="C1" s="629"/>
      <c r="D1" s="629"/>
      <c r="E1" s="629"/>
    </row>
    <row r="2" spans="1:5">
      <c r="A2" s="498"/>
      <c r="B2" s="120"/>
      <c r="C2" s="498"/>
      <c r="D2" s="498"/>
      <c r="E2" s="498"/>
    </row>
    <row r="3" spans="1:5">
      <c r="A3" s="630" t="s">
        <v>1415</v>
      </c>
      <c r="B3" s="630"/>
      <c r="C3" s="630"/>
      <c r="D3" s="630"/>
      <c r="E3" s="630"/>
    </row>
    <row r="4" spans="1:5">
      <c r="A4" s="499"/>
      <c r="B4" s="121"/>
      <c r="C4" s="499"/>
      <c r="D4" s="598" t="s">
        <v>1393</v>
      </c>
      <c r="E4" s="598"/>
    </row>
    <row r="5" spans="1:5" ht="16.2" thickBot="1">
      <c r="A5" s="499"/>
      <c r="B5" s="121"/>
      <c r="C5" s="499"/>
      <c r="D5" s="493"/>
      <c r="E5" s="493"/>
    </row>
    <row r="6" spans="1:5" ht="16.2" thickBot="1">
      <c r="A6" s="266" t="s">
        <v>152</v>
      </c>
      <c r="B6" s="650" t="s">
        <v>420</v>
      </c>
      <c r="C6" s="651"/>
      <c r="D6" s="608" t="s">
        <v>421</v>
      </c>
      <c r="E6" s="593"/>
    </row>
    <row r="7" spans="1:5">
      <c r="A7" s="111"/>
      <c r="B7" s="194"/>
      <c r="C7" s="194"/>
      <c r="D7" s="352"/>
      <c r="E7" s="352"/>
    </row>
    <row r="8" spans="1:5">
      <c r="A8" s="289" t="s">
        <v>153</v>
      </c>
      <c r="B8" s="58"/>
      <c r="C8" s="58"/>
      <c r="D8" s="190"/>
      <c r="E8" s="190"/>
    </row>
    <row r="9" spans="1:5">
      <c r="A9" s="289"/>
      <c r="B9" s="58"/>
      <c r="C9" s="58"/>
      <c r="D9" s="190"/>
      <c r="E9" s="190"/>
    </row>
    <row r="10" spans="1:5">
      <c r="A10" s="289" t="s">
        <v>321</v>
      </c>
      <c r="B10" s="58"/>
      <c r="C10" s="58"/>
      <c r="D10" s="190"/>
      <c r="E10" s="190"/>
    </row>
    <row r="11" spans="1:5">
      <c r="A11" s="113" t="s">
        <v>323</v>
      </c>
      <c r="B11" s="80" t="s">
        <v>242</v>
      </c>
      <c r="C11" s="80" t="s">
        <v>242</v>
      </c>
      <c r="D11" s="186" t="s">
        <v>242</v>
      </c>
      <c r="E11" s="186" t="s">
        <v>242</v>
      </c>
    </row>
    <row r="12" spans="1:5">
      <c r="A12" s="113" t="s">
        <v>324</v>
      </c>
      <c r="B12" s="80" t="s">
        <v>242</v>
      </c>
      <c r="C12" s="80" t="s">
        <v>242</v>
      </c>
      <c r="D12" s="186" t="s">
        <v>242</v>
      </c>
      <c r="E12" s="186" t="s">
        <v>242</v>
      </c>
    </row>
    <row r="13" spans="1:5">
      <c r="A13" s="113" t="s">
        <v>325</v>
      </c>
      <c r="B13" s="80"/>
      <c r="C13" s="80"/>
      <c r="D13" s="186"/>
      <c r="E13" s="186"/>
    </row>
    <row r="14" spans="1:5">
      <c r="A14" s="113" t="s">
        <v>326</v>
      </c>
      <c r="B14" s="80" t="s">
        <v>242</v>
      </c>
      <c r="C14" s="80" t="s">
        <v>242</v>
      </c>
      <c r="D14" s="186" t="s">
        <v>242</v>
      </c>
      <c r="E14" s="186" t="s">
        <v>242</v>
      </c>
    </row>
    <row r="15" spans="1:5">
      <c r="A15" s="113"/>
      <c r="B15" s="58"/>
      <c r="C15" s="58"/>
      <c r="D15" s="190"/>
      <c r="E15" s="190"/>
    </row>
    <row r="16" spans="1:5">
      <c r="A16" s="289" t="s">
        <v>322</v>
      </c>
      <c r="B16" s="58"/>
      <c r="C16" s="58"/>
      <c r="D16" s="190"/>
      <c r="E16" s="190"/>
    </row>
    <row r="17" spans="1:6">
      <c r="A17" s="289" t="s">
        <v>508</v>
      </c>
      <c r="B17" s="58"/>
      <c r="C17" s="58"/>
      <c r="D17" s="190"/>
      <c r="E17" s="190"/>
    </row>
    <row r="18" spans="1:6">
      <c r="A18" s="289" t="s">
        <v>327</v>
      </c>
      <c r="B18" s="80" t="s">
        <v>242</v>
      </c>
      <c r="C18" s="80" t="s">
        <v>242</v>
      </c>
      <c r="D18" s="186" t="s">
        <v>242</v>
      </c>
      <c r="E18" s="186" t="s">
        <v>242</v>
      </c>
    </row>
    <row r="19" spans="1:6">
      <c r="A19" s="113" t="s">
        <v>328</v>
      </c>
      <c r="B19" s="58"/>
      <c r="C19" s="58"/>
      <c r="D19" s="190"/>
      <c r="E19" s="190"/>
    </row>
    <row r="20" spans="1:6">
      <c r="A20" s="113" t="s">
        <v>329</v>
      </c>
      <c r="B20" s="58"/>
      <c r="C20" s="58"/>
      <c r="D20" s="190"/>
      <c r="E20" s="190"/>
    </row>
    <row r="21" spans="1:6">
      <c r="A21" s="113" t="s">
        <v>330</v>
      </c>
      <c r="B21" s="80" t="s">
        <v>242</v>
      </c>
      <c r="C21" s="80" t="s">
        <v>242</v>
      </c>
      <c r="D21" s="186" t="s">
        <v>242</v>
      </c>
      <c r="E21" s="186" t="s">
        <v>242</v>
      </c>
    </row>
    <row r="22" spans="1:6">
      <c r="A22" s="113" t="s">
        <v>331</v>
      </c>
      <c r="B22" s="58">
        <v>28301002</v>
      </c>
      <c r="C22" s="80" t="s">
        <v>242</v>
      </c>
      <c r="D22" s="190">
        <f>47500000-13993887-5205111</f>
        <v>28301002</v>
      </c>
      <c r="E22" s="186" t="s">
        <v>242</v>
      </c>
    </row>
    <row r="23" spans="1:6">
      <c r="A23" s="113" t="s">
        <v>693</v>
      </c>
      <c r="B23" s="58">
        <v>40773292.020000003</v>
      </c>
      <c r="C23" s="80" t="s">
        <v>242</v>
      </c>
      <c r="D23" s="190">
        <f>10849660.6+30418631.42+-495000</f>
        <v>40773292.020000003</v>
      </c>
      <c r="E23" s="186" t="s">
        <v>242</v>
      </c>
    </row>
    <row r="24" spans="1:6">
      <c r="A24" s="113" t="s">
        <v>2</v>
      </c>
      <c r="B24" s="58">
        <v>300000</v>
      </c>
      <c r="C24" s="80" t="s">
        <v>242</v>
      </c>
      <c r="D24" s="190">
        <v>300000</v>
      </c>
      <c r="E24" s="186" t="s">
        <v>242</v>
      </c>
    </row>
    <row r="25" spans="1:6">
      <c r="A25" s="108" t="s">
        <v>333</v>
      </c>
      <c r="B25" s="186" t="s">
        <v>242</v>
      </c>
      <c r="C25" s="108"/>
      <c r="D25" s="186" t="s">
        <v>242</v>
      </c>
      <c r="E25" s="186" t="s">
        <v>242</v>
      </c>
    </row>
    <row r="26" spans="1:6">
      <c r="A26" s="573" t="s">
        <v>334</v>
      </c>
      <c r="B26" s="186" t="s">
        <v>242</v>
      </c>
      <c r="C26" s="108"/>
      <c r="D26" s="186" t="s">
        <v>242</v>
      </c>
      <c r="E26" s="186" t="s">
        <v>242</v>
      </c>
    </row>
    <row r="27" spans="1:6">
      <c r="A27" s="108" t="s">
        <v>694</v>
      </c>
      <c r="B27" s="186" t="s">
        <v>242</v>
      </c>
      <c r="C27" s="108"/>
      <c r="D27" s="186" t="s">
        <v>242</v>
      </c>
      <c r="E27" s="186" t="s">
        <v>242</v>
      </c>
    </row>
    <row r="28" spans="1:6">
      <c r="A28" s="108" t="s">
        <v>335</v>
      </c>
      <c r="B28" s="186" t="s">
        <v>242</v>
      </c>
      <c r="C28" s="192">
        <f>SUM(B22:B24)</f>
        <v>69374294.020000011</v>
      </c>
      <c r="D28" s="186" t="s">
        <v>242</v>
      </c>
      <c r="E28" s="192">
        <f>SUM(D22:D24)</f>
        <v>69374294.020000011</v>
      </c>
      <c r="F28" s="38"/>
    </row>
    <row r="29" spans="1:6">
      <c r="A29" s="113"/>
      <c r="B29" s="58"/>
      <c r="C29" s="58"/>
      <c r="D29" s="190"/>
      <c r="E29" s="190"/>
    </row>
    <row r="30" spans="1:6">
      <c r="A30" s="289" t="s">
        <v>336</v>
      </c>
      <c r="B30" s="80" t="s">
        <v>242</v>
      </c>
      <c r="C30" s="80" t="s">
        <v>242</v>
      </c>
      <c r="D30" s="186" t="s">
        <v>242</v>
      </c>
      <c r="E30" s="186" t="s">
        <v>242</v>
      </c>
    </row>
    <row r="31" spans="1:6">
      <c r="A31" s="289" t="s">
        <v>339</v>
      </c>
      <c r="B31" s="80" t="s">
        <v>242</v>
      </c>
      <c r="C31" s="80" t="s">
        <v>242</v>
      </c>
      <c r="D31" s="186" t="s">
        <v>242</v>
      </c>
      <c r="E31" s="186" t="s">
        <v>242</v>
      </c>
    </row>
    <row r="32" spans="1:6">
      <c r="A32" s="113" t="s">
        <v>455</v>
      </c>
      <c r="B32" s="58"/>
      <c r="C32" s="58"/>
      <c r="D32" s="190"/>
      <c r="E32" s="190"/>
    </row>
    <row r="33" spans="1:6">
      <c r="A33" s="283" t="s">
        <v>340</v>
      </c>
      <c r="B33" s="58">
        <v>190583</v>
      </c>
      <c r="C33" s="80" t="s">
        <v>242</v>
      </c>
      <c r="D33" s="190">
        <v>271953</v>
      </c>
      <c r="E33" s="186" t="s">
        <v>242</v>
      </c>
    </row>
    <row r="34" spans="1:6">
      <c r="A34" s="283" t="s">
        <v>341</v>
      </c>
      <c r="B34" s="58">
        <v>609450</v>
      </c>
      <c r="C34" s="80" t="s">
        <v>242</v>
      </c>
      <c r="D34" s="190">
        <v>489075</v>
      </c>
      <c r="E34" s="186" t="s">
        <v>242</v>
      </c>
    </row>
    <row r="35" spans="1:6" ht="16.2" thickBot="1">
      <c r="A35" s="351" t="s">
        <v>342</v>
      </c>
      <c r="B35" s="61">
        <v>77633</v>
      </c>
      <c r="C35" s="196" t="s">
        <v>242</v>
      </c>
      <c r="D35" s="439">
        <v>77633</v>
      </c>
      <c r="E35" s="193" t="s">
        <v>242</v>
      </c>
      <c r="F35" s="38"/>
    </row>
    <row r="36" spans="1:6">
      <c r="A36" s="649" t="s">
        <v>995</v>
      </c>
      <c r="B36" s="631"/>
      <c r="C36" s="631"/>
      <c r="D36" s="649"/>
      <c r="E36" s="649"/>
      <c r="F36" s="38"/>
    </row>
    <row r="37" spans="1:6">
      <c r="A37" s="497"/>
      <c r="B37" s="495"/>
      <c r="C37" s="497"/>
      <c r="D37" s="497"/>
      <c r="E37" s="497"/>
      <c r="F37" s="38"/>
    </row>
    <row r="38" spans="1:6">
      <c r="A38" s="497"/>
      <c r="B38" s="495"/>
      <c r="C38" s="497"/>
      <c r="D38" s="497"/>
      <c r="E38" s="497"/>
      <c r="F38" s="38"/>
    </row>
    <row r="39" spans="1:6">
      <c r="A39" s="638" t="s">
        <v>1037</v>
      </c>
      <c r="B39" s="638"/>
      <c r="C39" s="638"/>
      <c r="D39" s="638"/>
      <c r="E39" s="638"/>
      <c r="F39" s="38" t="s">
        <v>112</v>
      </c>
    </row>
    <row r="40" spans="1:6">
      <c r="A40" s="629" t="s">
        <v>261</v>
      </c>
      <c r="B40" s="629"/>
      <c r="C40" s="629"/>
      <c r="D40" s="629"/>
      <c r="E40" s="629"/>
    </row>
    <row r="41" spans="1:6">
      <c r="A41" s="498"/>
      <c r="B41" s="120"/>
      <c r="C41" s="498"/>
      <c r="D41" s="498"/>
      <c r="E41" s="498"/>
    </row>
    <row r="42" spans="1:6">
      <c r="A42" s="630" t="s">
        <v>1415</v>
      </c>
      <c r="B42" s="630"/>
      <c r="C42" s="630"/>
      <c r="D42" s="630"/>
      <c r="E42" s="630"/>
    </row>
    <row r="43" spans="1:6" ht="15.75" customHeight="1" thickBot="1">
      <c r="A43" s="499"/>
      <c r="B43" s="121"/>
      <c r="C43" s="499"/>
      <c r="D43" s="598" t="s">
        <v>1393</v>
      </c>
      <c r="E43" s="598"/>
    </row>
    <row r="44" spans="1:6" ht="16.2" thickBot="1">
      <c r="A44" s="266" t="s">
        <v>152</v>
      </c>
      <c r="B44" s="626" t="s">
        <v>420</v>
      </c>
      <c r="C44" s="627"/>
      <c r="D44" s="592" t="s">
        <v>421</v>
      </c>
      <c r="E44" s="593"/>
    </row>
    <row r="45" spans="1:6">
      <c r="A45" s="282" t="s">
        <v>343</v>
      </c>
      <c r="B45" s="194">
        <v>1659125</v>
      </c>
      <c r="C45" s="197" t="s">
        <v>242</v>
      </c>
      <c r="D45" s="352">
        <v>1889192</v>
      </c>
      <c r="E45" s="197" t="s">
        <v>242</v>
      </c>
    </row>
    <row r="46" spans="1:6">
      <c r="A46" s="283" t="s">
        <v>315</v>
      </c>
      <c r="B46" s="58">
        <v>2498273</v>
      </c>
      <c r="C46" s="114" t="s">
        <v>242</v>
      </c>
      <c r="D46" s="190">
        <v>3339763</v>
      </c>
      <c r="E46" s="114" t="s">
        <v>242</v>
      </c>
    </row>
    <row r="47" spans="1:6">
      <c r="A47" s="283" t="s">
        <v>1321</v>
      </c>
      <c r="B47" s="58">
        <v>105320</v>
      </c>
      <c r="C47" s="114" t="s">
        <v>242</v>
      </c>
      <c r="D47" s="190">
        <v>99320</v>
      </c>
      <c r="E47" s="114" t="s">
        <v>242</v>
      </c>
    </row>
    <row r="48" spans="1:6">
      <c r="A48" s="283" t="s">
        <v>1322</v>
      </c>
      <c r="B48" s="58">
        <v>1221906</v>
      </c>
      <c r="C48" s="114" t="s">
        <v>242</v>
      </c>
      <c r="D48" s="190">
        <v>1488008</v>
      </c>
      <c r="E48" s="114" t="s">
        <v>242</v>
      </c>
    </row>
    <row r="49" spans="1:6">
      <c r="A49" s="113" t="s">
        <v>1323</v>
      </c>
      <c r="B49" s="58">
        <v>4973878</v>
      </c>
      <c r="C49" s="114" t="s">
        <v>242</v>
      </c>
      <c r="D49" s="190">
        <v>5271137</v>
      </c>
      <c r="E49" s="114" t="s">
        <v>242</v>
      </c>
      <c r="F49" s="38" t="s">
        <v>112</v>
      </c>
    </row>
    <row r="50" spans="1:6">
      <c r="A50" s="113" t="s">
        <v>1324</v>
      </c>
      <c r="B50" s="58"/>
      <c r="C50" s="114" t="s">
        <v>242</v>
      </c>
      <c r="D50" s="190">
        <v>2524872</v>
      </c>
      <c r="E50" s="114" t="s">
        <v>242</v>
      </c>
      <c r="F50" s="38"/>
    </row>
    <row r="51" spans="1:6">
      <c r="A51" s="283" t="s">
        <v>1325</v>
      </c>
      <c r="B51" s="58">
        <v>4866372</v>
      </c>
      <c r="C51" s="114" t="s">
        <v>242</v>
      </c>
      <c r="D51" s="186" t="s">
        <v>242</v>
      </c>
      <c r="E51" s="114" t="s">
        <v>242</v>
      </c>
      <c r="F51" s="38"/>
    </row>
    <row r="52" spans="1:6">
      <c r="A52" s="283" t="s">
        <v>1326</v>
      </c>
      <c r="B52" s="58">
        <v>100000</v>
      </c>
      <c r="C52" s="114" t="s">
        <v>242</v>
      </c>
      <c r="D52" s="190">
        <v>100000</v>
      </c>
      <c r="E52" s="114" t="s">
        <v>242</v>
      </c>
      <c r="F52" s="38"/>
    </row>
    <row r="53" spans="1:6">
      <c r="A53" s="283" t="s">
        <v>1327</v>
      </c>
      <c r="B53" s="58">
        <v>135888</v>
      </c>
      <c r="C53" s="114" t="s">
        <v>242</v>
      </c>
      <c r="D53" s="190">
        <v>135888</v>
      </c>
      <c r="E53" s="114" t="s">
        <v>242</v>
      </c>
      <c r="F53" s="38"/>
    </row>
    <row r="54" spans="1:6">
      <c r="A54" s="283" t="s">
        <v>1328</v>
      </c>
      <c r="B54" s="58"/>
      <c r="C54" s="114" t="s">
        <v>242</v>
      </c>
      <c r="D54" s="186" t="s">
        <v>242</v>
      </c>
      <c r="E54" s="114" t="s">
        <v>242</v>
      </c>
      <c r="F54" s="38"/>
    </row>
    <row r="55" spans="1:6">
      <c r="A55" s="284" t="s">
        <v>1329</v>
      </c>
      <c r="B55" s="58">
        <v>404487</v>
      </c>
      <c r="C55" s="114" t="s">
        <v>242</v>
      </c>
      <c r="D55" s="190">
        <v>242342</v>
      </c>
      <c r="E55" s="114" t="s">
        <v>242</v>
      </c>
      <c r="F55" s="38"/>
    </row>
    <row r="56" spans="1:6">
      <c r="A56" s="284"/>
      <c r="B56" s="58"/>
      <c r="C56" s="108"/>
      <c r="D56" s="189"/>
      <c r="E56" s="108"/>
      <c r="F56" s="38"/>
    </row>
    <row r="57" spans="1:6">
      <c r="A57" s="285" t="s">
        <v>489</v>
      </c>
      <c r="B57" s="58"/>
      <c r="C57" s="108"/>
      <c r="D57" s="189"/>
      <c r="E57" s="108"/>
      <c r="F57" s="38"/>
    </row>
    <row r="58" spans="1:6">
      <c r="A58" s="113" t="s">
        <v>490</v>
      </c>
      <c r="B58" s="114" t="s">
        <v>242</v>
      </c>
      <c r="C58" s="114" t="s">
        <v>242</v>
      </c>
      <c r="D58" s="186" t="s">
        <v>242</v>
      </c>
      <c r="E58" s="114" t="s">
        <v>242</v>
      </c>
      <c r="F58" s="38"/>
    </row>
    <row r="59" spans="1:6">
      <c r="A59" s="113" t="s">
        <v>491</v>
      </c>
      <c r="B59" s="114" t="s">
        <v>242</v>
      </c>
      <c r="C59" s="114" t="s">
        <v>242</v>
      </c>
      <c r="D59" s="186" t="s">
        <v>242</v>
      </c>
      <c r="E59" s="114" t="s">
        <v>242</v>
      </c>
      <c r="F59" s="38"/>
    </row>
    <row r="60" spans="1:6">
      <c r="A60" s="284" t="s">
        <v>492</v>
      </c>
      <c r="B60" s="58">
        <v>25000</v>
      </c>
      <c r="C60" s="114" t="s">
        <v>242</v>
      </c>
      <c r="D60" s="190">
        <v>25000</v>
      </c>
      <c r="E60" s="114" t="s">
        <v>242</v>
      </c>
      <c r="F60" s="38"/>
    </row>
    <row r="61" spans="1:6">
      <c r="A61" s="425" t="s">
        <v>1330</v>
      </c>
      <c r="B61" s="58">
        <v>30000</v>
      </c>
      <c r="C61" s="80" t="s">
        <v>242</v>
      </c>
      <c r="D61" s="190">
        <v>15000</v>
      </c>
      <c r="E61" s="80" t="s">
        <v>242</v>
      </c>
      <c r="F61" s="38"/>
    </row>
    <row r="62" spans="1:6">
      <c r="A62" s="474" t="s">
        <v>1331</v>
      </c>
      <c r="B62" s="63">
        <v>68500</v>
      </c>
      <c r="C62" s="114" t="s">
        <v>242</v>
      </c>
      <c r="D62" s="186" t="s">
        <v>242</v>
      </c>
      <c r="E62" s="80" t="s">
        <v>242</v>
      </c>
      <c r="F62" s="38"/>
    </row>
    <row r="63" spans="1:6" ht="16.2" thickBot="1">
      <c r="A63" s="426" t="s">
        <v>1444</v>
      </c>
      <c r="B63" s="61">
        <v>155000</v>
      </c>
      <c r="C63" s="196" t="s">
        <v>242</v>
      </c>
      <c r="D63" s="439">
        <v>80000</v>
      </c>
      <c r="E63" s="196" t="s">
        <v>242</v>
      </c>
      <c r="F63" s="38"/>
    </row>
    <row r="64" spans="1:6">
      <c r="A64" s="631" t="s">
        <v>1399</v>
      </c>
      <c r="B64" s="631"/>
      <c r="C64" s="631"/>
      <c r="D64" s="631"/>
      <c r="E64" s="631"/>
      <c r="F64" s="38"/>
    </row>
    <row r="65" spans="1:6">
      <c r="A65" s="497"/>
      <c r="B65" s="495"/>
      <c r="C65" s="497"/>
      <c r="D65" s="497"/>
      <c r="E65" s="497"/>
      <c r="F65" s="38"/>
    </row>
    <row r="66" spans="1:6">
      <c r="A66" s="497"/>
      <c r="B66" s="495"/>
      <c r="C66" s="497"/>
      <c r="D66" s="497"/>
      <c r="E66" s="497"/>
      <c r="F66" s="38"/>
    </row>
    <row r="67" spans="1:6">
      <c r="A67" s="497"/>
      <c r="B67" s="495"/>
      <c r="C67" s="497"/>
      <c r="D67" s="497"/>
      <c r="E67" s="497"/>
      <c r="F67" s="38"/>
    </row>
    <row r="68" spans="1:6">
      <c r="A68" s="497"/>
      <c r="B68" s="495"/>
      <c r="C68" s="497"/>
      <c r="D68" s="497"/>
      <c r="E68" s="497"/>
      <c r="F68" s="38"/>
    </row>
    <row r="69" spans="1:6">
      <c r="A69" s="497"/>
      <c r="B69" s="495"/>
      <c r="C69" s="497"/>
      <c r="D69" s="497"/>
      <c r="E69" s="497"/>
      <c r="F69" s="38"/>
    </row>
    <row r="70" spans="1:6">
      <c r="A70" s="497"/>
      <c r="B70" s="495"/>
      <c r="C70" s="497"/>
      <c r="D70" s="497"/>
      <c r="E70" s="497"/>
      <c r="F70" s="38"/>
    </row>
    <row r="71" spans="1:6" ht="16.2" thickBot="1">
      <c r="A71" s="621" t="s">
        <v>1038</v>
      </c>
      <c r="B71" s="621"/>
      <c r="C71" s="621"/>
      <c r="D71" s="621"/>
      <c r="E71" s="621"/>
      <c r="F71" s="38"/>
    </row>
    <row r="72" spans="1:6">
      <c r="A72" s="354" t="s">
        <v>553</v>
      </c>
      <c r="B72" s="194"/>
      <c r="C72" s="197"/>
      <c r="D72" s="352"/>
      <c r="E72" s="355"/>
      <c r="F72" s="38"/>
    </row>
    <row r="73" spans="1:6">
      <c r="A73" s="113" t="s">
        <v>571</v>
      </c>
      <c r="B73" s="80" t="s">
        <v>242</v>
      </c>
      <c r="C73" s="114" t="s">
        <v>242</v>
      </c>
      <c r="D73" s="191" t="s">
        <v>242</v>
      </c>
      <c r="E73" s="191" t="s">
        <v>242</v>
      </c>
      <c r="F73" s="38"/>
    </row>
    <row r="74" spans="1:6">
      <c r="A74" s="113" t="s">
        <v>986</v>
      </c>
      <c r="B74" s="58">
        <v>15000</v>
      </c>
      <c r="C74" s="108"/>
      <c r="D74" s="190">
        <v>15000</v>
      </c>
      <c r="E74" s="191" t="s">
        <v>242</v>
      </c>
      <c r="F74" s="38"/>
    </row>
    <row r="75" spans="1:6">
      <c r="A75" s="113"/>
      <c r="B75" s="58"/>
      <c r="C75" s="108"/>
      <c r="D75" s="189"/>
      <c r="E75" s="189"/>
      <c r="F75" s="38"/>
    </row>
    <row r="76" spans="1:6">
      <c r="A76" s="285" t="s">
        <v>552</v>
      </c>
      <c r="B76" s="58"/>
      <c r="C76" s="108"/>
      <c r="D76" s="189"/>
      <c r="E76" s="189"/>
      <c r="F76" s="38"/>
    </row>
    <row r="77" spans="1:6">
      <c r="A77" s="113" t="s">
        <v>497</v>
      </c>
      <c r="B77" s="58">
        <v>371000</v>
      </c>
      <c r="C77" s="191" t="s">
        <v>242</v>
      </c>
      <c r="D77" s="190">
        <v>371000</v>
      </c>
      <c r="E77" s="191" t="s">
        <v>242</v>
      </c>
      <c r="F77" s="38"/>
    </row>
    <row r="78" spans="1:6">
      <c r="A78" s="113" t="s">
        <v>555</v>
      </c>
      <c r="B78" s="58">
        <v>87600</v>
      </c>
      <c r="C78" s="191" t="s">
        <v>242</v>
      </c>
      <c r="D78" s="190">
        <v>4425</v>
      </c>
      <c r="E78" s="191" t="s">
        <v>242</v>
      </c>
      <c r="F78" s="38"/>
    </row>
    <row r="79" spans="1:6">
      <c r="A79" s="108" t="s">
        <v>554</v>
      </c>
      <c r="B79" s="191" t="s">
        <v>242</v>
      </c>
      <c r="C79" s="191" t="s">
        <v>242</v>
      </c>
      <c r="D79" s="191" t="s">
        <v>242</v>
      </c>
      <c r="E79" s="191" t="s">
        <v>242</v>
      </c>
      <c r="F79" s="38"/>
    </row>
    <row r="80" spans="1:6">
      <c r="A80" s="108" t="s">
        <v>700</v>
      </c>
      <c r="B80" s="191" t="s">
        <v>242</v>
      </c>
      <c r="C80" s="191" t="s">
        <v>242</v>
      </c>
      <c r="D80" s="191" t="s">
        <v>242</v>
      </c>
      <c r="E80" s="191" t="s">
        <v>242</v>
      </c>
      <c r="F80" s="38"/>
    </row>
    <row r="81" spans="1:8">
      <c r="A81" s="108" t="s">
        <v>570</v>
      </c>
      <c r="B81" s="189"/>
      <c r="C81" s="189"/>
      <c r="D81" s="189"/>
      <c r="E81" s="189"/>
      <c r="F81" s="38"/>
    </row>
    <row r="82" spans="1:8">
      <c r="A82" s="572" t="s">
        <v>551</v>
      </c>
      <c r="B82" s="189"/>
      <c r="C82" s="189"/>
      <c r="D82" s="189"/>
      <c r="E82" s="189"/>
      <c r="F82" s="38"/>
    </row>
    <row r="83" spans="1:8">
      <c r="A83" s="108" t="s">
        <v>496</v>
      </c>
      <c r="B83" s="191" t="s">
        <v>242</v>
      </c>
      <c r="C83" s="191" t="s">
        <v>242</v>
      </c>
      <c r="D83" s="191" t="s">
        <v>242</v>
      </c>
      <c r="E83" s="191" t="s">
        <v>242</v>
      </c>
      <c r="F83" s="38"/>
    </row>
    <row r="84" spans="1:8">
      <c r="A84" s="108"/>
      <c r="B84" s="189"/>
      <c r="C84" s="189"/>
      <c r="D84" s="189"/>
      <c r="E84" s="189"/>
      <c r="F84" s="38"/>
    </row>
    <row r="85" spans="1:8">
      <c r="A85" s="572" t="s">
        <v>979</v>
      </c>
      <c r="B85" s="189"/>
      <c r="C85" s="189"/>
      <c r="D85" s="189"/>
      <c r="E85" s="189"/>
      <c r="F85" s="38"/>
    </row>
    <row r="86" spans="1:8">
      <c r="A86" s="108" t="s">
        <v>556</v>
      </c>
      <c r="B86" s="191" t="s">
        <v>242</v>
      </c>
      <c r="C86" s="191" t="s">
        <v>242</v>
      </c>
      <c r="D86" s="191" t="s">
        <v>242</v>
      </c>
      <c r="E86" s="191" t="s">
        <v>242</v>
      </c>
      <c r="F86" s="38"/>
    </row>
    <row r="87" spans="1:8">
      <c r="A87" s="573" t="s">
        <v>1092</v>
      </c>
      <c r="B87" s="191" t="s">
        <v>242</v>
      </c>
      <c r="C87" s="191" t="s">
        <v>242</v>
      </c>
      <c r="D87" s="191" t="s">
        <v>242</v>
      </c>
      <c r="E87" s="191" t="s">
        <v>242</v>
      </c>
      <c r="F87" s="38"/>
    </row>
    <row r="88" spans="1:8">
      <c r="A88" s="573" t="s">
        <v>974</v>
      </c>
      <c r="B88" s="191" t="s">
        <v>242</v>
      </c>
      <c r="C88" s="191" t="s">
        <v>242</v>
      </c>
      <c r="D88" s="191" t="s">
        <v>242</v>
      </c>
      <c r="E88" s="191" t="s">
        <v>242</v>
      </c>
      <c r="F88" s="38"/>
    </row>
    <row r="89" spans="1:8">
      <c r="A89" s="283" t="s">
        <v>1093</v>
      </c>
      <c r="B89" s="58">
        <v>670000</v>
      </c>
      <c r="C89" s="192">
        <f>SUM(B33:B35,B45:B63,B72:B89)</f>
        <v>18265015</v>
      </c>
      <c r="D89" s="190">
        <v>591500</v>
      </c>
      <c r="E89" s="192">
        <f>SUM(D33:D35,D45:D63,D72:D89)</f>
        <v>17031108</v>
      </c>
      <c r="F89" s="38"/>
    </row>
    <row r="90" spans="1:8">
      <c r="A90" s="283"/>
      <c r="B90" s="58"/>
      <c r="C90" s="108"/>
      <c r="D90" s="189"/>
      <c r="E90" s="189"/>
      <c r="F90" s="38"/>
    </row>
    <row r="91" spans="1:8">
      <c r="A91" s="289" t="s">
        <v>498</v>
      </c>
      <c r="B91" s="58"/>
      <c r="C91" s="108"/>
      <c r="D91" s="189"/>
      <c r="E91" s="189"/>
      <c r="F91" s="38"/>
    </row>
    <row r="92" spans="1:8">
      <c r="A92" s="113" t="s">
        <v>501</v>
      </c>
      <c r="B92" s="58">
        <v>193920</v>
      </c>
      <c r="C92" s="191" t="s">
        <v>242</v>
      </c>
      <c r="D92" s="190">
        <v>193920</v>
      </c>
      <c r="E92" s="191" t="s">
        <v>242</v>
      </c>
    </row>
    <row r="93" spans="1:8">
      <c r="A93" s="113" t="s">
        <v>499</v>
      </c>
      <c r="B93" s="58">
        <v>6999.9</v>
      </c>
      <c r="C93" s="191" t="s">
        <v>242</v>
      </c>
      <c r="D93" s="190">
        <v>6999.9</v>
      </c>
      <c r="E93" s="191" t="s">
        <v>242</v>
      </c>
    </row>
    <row r="94" spans="1:8">
      <c r="A94" s="113" t="s">
        <v>500</v>
      </c>
      <c r="B94" s="58">
        <v>33970</v>
      </c>
      <c r="C94" s="192">
        <f>SUM(B92:B95)</f>
        <v>234889.9</v>
      </c>
      <c r="D94" s="190">
        <v>33970</v>
      </c>
      <c r="E94" s="192">
        <f>SUM(D92:D95)</f>
        <v>234889.9</v>
      </c>
    </row>
    <row r="95" spans="1:8" ht="16.2" thickBot="1">
      <c r="A95" s="113"/>
      <c r="B95" s="58"/>
      <c r="C95" s="108"/>
      <c r="D95" s="189"/>
      <c r="E95" s="189"/>
    </row>
    <row r="96" spans="1:8" ht="16.2" thickBot="1">
      <c r="A96" s="113"/>
      <c r="B96" s="58"/>
      <c r="C96" s="108"/>
      <c r="D96" s="189"/>
      <c r="E96" s="189"/>
      <c r="H96" s="574"/>
    </row>
    <row r="97" spans="1:8">
      <c r="A97" s="289" t="s">
        <v>502</v>
      </c>
      <c r="B97" s="58"/>
      <c r="C97" s="108"/>
      <c r="D97" s="189"/>
      <c r="E97" s="189"/>
      <c r="F97" s="38"/>
      <c r="H97" s="574"/>
    </row>
    <row r="98" spans="1:8">
      <c r="A98" s="108" t="s">
        <v>503</v>
      </c>
      <c r="B98" s="186" t="s">
        <v>242</v>
      </c>
      <c r="C98" s="186" t="s">
        <v>242</v>
      </c>
      <c r="D98" s="186" t="s">
        <v>242</v>
      </c>
      <c r="E98" s="186" t="s">
        <v>242</v>
      </c>
      <c r="F98" s="66"/>
    </row>
    <row r="99" spans="1:8">
      <c r="A99" s="113" t="s">
        <v>504</v>
      </c>
      <c r="B99" s="58">
        <v>9094785</v>
      </c>
      <c r="C99" s="186" t="s">
        <v>242</v>
      </c>
      <c r="D99" s="58">
        <f>2168873+8480110</f>
        <v>10648983</v>
      </c>
      <c r="E99" s="186" t="s">
        <v>242</v>
      </c>
    </row>
    <row r="100" spans="1:8">
      <c r="A100" s="108" t="s">
        <v>505</v>
      </c>
      <c r="B100" s="186" t="s">
        <v>242</v>
      </c>
      <c r="C100" s="186" t="s">
        <v>242</v>
      </c>
      <c r="D100" s="186" t="s">
        <v>242</v>
      </c>
      <c r="E100" s="186" t="s">
        <v>242</v>
      </c>
      <c r="F100" s="38"/>
    </row>
    <row r="101" spans="1:8">
      <c r="A101" s="108" t="s">
        <v>506</v>
      </c>
      <c r="B101" s="186" t="s">
        <v>242</v>
      </c>
      <c r="C101" s="186" t="s">
        <v>242</v>
      </c>
      <c r="D101" s="186" t="s">
        <v>242</v>
      </c>
      <c r="E101" s="186" t="s">
        <v>242</v>
      </c>
    </row>
    <row r="102" spans="1:8">
      <c r="A102" s="108" t="s">
        <v>154</v>
      </c>
      <c r="B102" s="190"/>
      <c r="C102" s="192">
        <f>SUM(B98:B101)</f>
        <v>9094785</v>
      </c>
      <c r="D102" s="189"/>
      <c r="E102" s="192">
        <f>SUM(D98:D101)</f>
        <v>10648983</v>
      </c>
    </row>
    <row r="103" spans="1:8">
      <c r="A103" s="108"/>
      <c r="B103" s="190"/>
      <c r="C103" s="108"/>
      <c r="D103" s="189"/>
      <c r="E103" s="189"/>
    </row>
    <row r="104" spans="1:8">
      <c r="A104" s="265" t="s">
        <v>507</v>
      </c>
      <c r="B104" s="186" t="s">
        <v>242</v>
      </c>
      <c r="C104" s="186" t="s">
        <v>242</v>
      </c>
      <c r="D104" s="186" t="s">
        <v>242</v>
      </c>
      <c r="E104" s="186" t="s">
        <v>242</v>
      </c>
      <c r="F104" s="37" t="s">
        <v>112</v>
      </c>
    </row>
    <row r="105" spans="1:8" ht="16.2" thickBot="1">
      <c r="A105" s="569"/>
      <c r="B105" s="439"/>
      <c r="C105" s="262"/>
      <c r="D105" s="447"/>
      <c r="E105" s="433"/>
      <c r="H105" s="38">
        <v>450774044.10000002</v>
      </c>
    </row>
    <row r="106" spans="1:8" ht="16.2" thickBot="1">
      <c r="A106" s="107" t="s">
        <v>24</v>
      </c>
      <c r="B106" s="448"/>
      <c r="C106" s="64">
        <f>C28+C89+C94+C102</f>
        <v>96968983.920000017</v>
      </c>
      <c r="D106" s="185"/>
      <c r="E106" s="64">
        <f>E28+E89+E94+E102</f>
        <v>97289274.920000017</v>
      </c>
      <c r="F106" s="38"/>
      <c r="H106" s="37">
        <v>449792119.10000002</v>
      </c>
    </row>
    <row r="107" spans="1:8" ht="16.2" thickBot="1">
      <c r="A107" s="62"/>
      <c r="B107" s="65"/>
      <c r="C107" s="66"/>
      <c r="D107" s="66"/>
      <c r="E107" s="66"/>
      <c r="F107" s="38"/>
      <c r="H107" s="38">
        <f>SUM(H105-H106)</f>
        <v>981925</v>
      </c>
    </row>
    <row r="108" spans="1:8" s="36" customFormat="1" ht="16.2" thickBot="1">
      <c r="A108" s="107" t="s">
        <v>155</v>
      </c>
      <c r="B108" s="64"/>
      <c r="C108" s="64">
        <f>'S 11 '!C112+'S 11 c'!C106</f>
        <v>234099409.07000002</v>
      </c>
      <c r="D108" s="427"/>
      <c r="E108" s="64">
        <f>'S 11 '!E112+'S 11 c'!E106</f>
        <v>450774044.10000002</v>
      </c>
    </row>
    <row r="109" spans="1:8">
      <c r="C109" s="38"/>
      <c r="D109" s="38"/>
      <c r="E109" s="38" t="s">
        <v>112</v>
      </c>
    </row>
    <row r="110" spans="1:8">
      <c r="A110" s="648" t="s">
        <v>1039</v>
      </c>
      <c r="B110" s="648"/>
      <c r="C110" s="648"/>
      <c r="D110" s="648"/>
      <c r="E110" s="648"/>
    </row>
    <row r="111" spans="1:8">
      <c r="C111" s="38" t="s">
        <v>112</v>
      </c>
      <c r="E111" s="38"/>
    </row>
    <row r="112" spans="1:8">
      <c r="C112" s="38" t="s">
        <v>112</v>
      </c>
    </row>
  </sheetData>
  <mergeCells count="15">
    <mergeCell ref="A64:E64"/>
    <mergeCell ref="A71:E71"/>
    <mergeCell ref="A110:E110"/>
    <mergeCell ref="B44:C44"/>
    <mergeCell ref="D44:E44"/>
    <mergeCell ref="B6:C6"/>
    <mergeCell ref="D6:E6"/>
    <mergeCell ref="A1:E1"/>
    <mergeCell ref="A3:E3"/>
    <mergeCell ref="D4:E4"/>
    <mergeCell ref="A40:E40"/>
    <mergeCell ref="A42:E42"/>
    <mergeCell ref="D43:E43"/>
    <mergeCell ref="A39:E39"/>
    <mergeCell ref="A36:E36"/>
  </mergeCells>
  <phoneticPr fontId="0" type="noConversion"/>
  <printOptions horizontalCentered="1"/>
  <pageMargins left="0.42" right="0.5" top="0.34" bottom="0.42" header="0" footer="0"/>
  <pageSetup paperSize="9" scale="87" orientation="landscape" horizontalDpi="300" verticalDpi="300" r:id="rId1"/>
  <headerFooter alignWithMargins="0"/>
  <rowBreaks count="2" manualBreakCount="2">
    <brk id="39" max="4" man="1"/>
    <brk id="71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1">
    <tabColor rgb="FF00B050"/>
  </sheetPr>
  <dimension ref="A1:C62"/>
  <sheetViews>
    <sheetView view="pageBreakPreview" topLeftCell="A48" zoomScaleSheetLayoutView="100" workbookViewId="0">
      <selection activeCell="B44" activeCellId="1" sqref="B42 B44"/>
    </sheetView>
  </sheetViews>
  <sheetFormatPr defaultColWidth="9.109375" defaultRowHeight="15.6"/>
  <cols>
    <col min="1" max="1" width="91.44140625" style="37" customWidth="1"/>
    <col min="2" max="3" width="15.33203125" style="37" customWidth="1"/>
    <col min="4" max="16384" width="9.109375" style="37"/>
  </cols>
  <sheetData>
    <row r="1" spans="1:3">
      <c r="A1" s="629" t="s">
        <v>262</v>
      </c>
      <c r="B1" s="629"/>
      <c r="C1" s="629"/>
    </row>
    <row r="2" spans="1:3">
      <c r="A2" s="498"/>
      <c r="B2" s="498"/>
      <c r="C2" s="498"/>
    </row>
    <row r="3" spans="1:3">
      <c r="A3" s="630" t="s">
        <v>1416</v>
      </c>
      <c r="B3" s="630"/>
      <c r="C3" s="630"/>
    </row>
    <row r="4" spans="1:3">
      <c r="A4" s="499"/>
      <c r="B4" s="499"/>
      <c r="C4" s="499"/>
    </row>
    <row r="5" spans="1:3" ht="15.75" customHeight="1" thickBot="1">
      <c r="A5" s="499"/>
      <c r="B5" s="598" t="s">
        <v>1393</v>
      </c>
      <c r="C5" s="598"/>
    </row>
    <row r="6" spans="1:3" ht="16.2" thickBot="1">
      <c r="A6" s="107" t="s">
        <v>156</v>
      </c>
      <c r="B6" s="107" t="s">
        <v>420</v>
      </c>
      <c r="C6" s="250" t="s">
        <v>421</v>
      </c>
    </row>
    <row r="7" spans="1:3">
      <c r="A7" s="112"/>
      <c r="B7" s="116"/>
      <c r="C7" s="198"/>
    </row>
    <row r="8" spans="1:3">
      <c r="A8" s="108" t="s">
        <v>157</v>
      </c>
      <c r="B8" s="114"/>
      <c r="C8" s="191"/>
    </row>
    <row r="9" spans="1:3">
      <c r="A9" s="108" t="s">
        <v>158</v>
      </c>
      <c r="B9" s="191" t="s">
        <v>242</v>
      </c>
      <c r="C9" s="191" t="s">
        <v>242</v>
      </c>
    </row>
    <row r="10" spans="1:3">
      <c r="A10" s="108" t="s">
        <v>159</v>
      </c>
      <c r="B10" s="191" t="s">
        <v>242</v>
      </c>
      <c r="C10" s="191" t="s">
        <v>242</v>
      </c>
    </row>
    <row r="11" spans="1:3">
      <c r="A11" s="108" t="s">
        <v>160</v>
      </c>
      <c r="B11" s="191" t="s">
        <v>242</v>
      </c>
      <c r="C11" s="191" t="s">
        <v>242</v>
      </c>
    </row>
    <row r="12" spans="1:3">
      <c r="A12" s="108"/>
      <c r="B12" s="191"/>
      <c r="C12" s="191"/>
    </row>
    <row r="13" spans="1:3">
      <c r="A13" s="108" t="s">
        <v>161</v>
      </c>
      <c r="B13" s="191"/>
      <c r="C13" s="191"/>
    </row>
    <row r="14" spans="1:3">
      <c r="A14" s="108" t="s">
        <v>162</v>
      </c>
      <c r="B14" s="191" t="s">
        <v>242</v>
      </c>
      <c r="C14" s="191" t="s">
        <v>242</v>
      </c>
    </row>
    <row r="15" spans="1:3">
      <c r="A15" s="108" t="s">
        <v>163</v>
      </c>
      <c r="B15" s="191" t="s">
        <v>242</v>
      </c>
      <c r="C15" s="191" t="s">
        <v>242</v>
      </c>
    </row>
    <row r="16" spans="1:3">
      <c r="A16" s="108" t="s">
        <v>184</v>
      </c>
      <c r="B16" s="191" t="s">
        <v>242</v>
      </c>
      <c r="C16" s="191" t="s">
        <v>242</v>
      </c>
    </row>
    <row r="17" spans="1:3">
      <c r="A17" s="108" t="s">
        <v>183</v>
      </c>
      <c r="B17" s="191" t="s">
        <v>242</v>
      </c>
      <c r="C17" s="191" t="s">
        <v>242</v>
      </c>
    </row>
    <row r="18" spans="1:3">
      <c r="A18" s="108" t="s">
        <v>166</v>
      </c>
      <c r="B18" s="191" t="s">
        <v>242</v>
      </c>
      <c r="C18" s="191" t="s">
        <v>242</v>
      </c>
    </row>
    <row r="19" spans="1:3" ht="16.2" thickBot="1">
      <c r="A19" s="109"/>
      <c r="B19" s="220"/>
      <c r="C19" s="220"/>
    </row>
    <row r="20" spans="1:3" ht="16.2" thickBot="1">
      <c r="A20" s="107" t="s">
        <v>422</v>
      </c>
      <c r="B20" s="251" t="s">
        <v>242</v>
      </c>
      <c r="C20" s="251" t="s">
        <v>242</v>
      </c>
    </row>
    <row r="21" spans="1:3">
      <c r="A21" s="400"/>
      <c r="B21" s="493"/>
      <c r="C21" s="493"/>
    </row>
    <row r="22" spans="1:3">
      <c r="A22" s="400"/>
      <c r="B22" s="493"/>
      <c r="C22" s="493"/>
    </row>
    <row r="23" spans="1:3">
      <c r="A23" s="400"/>
      <c r="B23" s="493"/>
      <c r="C23" s="493"/>
    </row>
    <row r="24" spans="1:3">
      <c r="A24" s="400"/>
      <c r="B24" s="493"/>
      <c r="C24" s="493"/>
    </row>
    <row r="25" spans="1:3">
      <c r="A25" s="400"/>
      <c r="B25" s="493"/>
      <c r="C25" s="493"/>
    </row>
    <row r="26" spans="1:3">
      <c r="A26" s="400"/>
      <c r="B26" s="493"/>
      <c r="C26" s="493"/>
    </row>
    <row r="27" spans="1:3">
      <c r="A27" s="400"/>
      <c r="B27" s="493"/>
      <c r="C27" s="493"/>
    </row>
    <row r="28" spans="1:3">
      <c r="A28" s="621" t="s">
        <v>1040</v>
      </c>
      <c r="B28" s="621"/>
      <c r="C28" s="621"/>
    </row>
    <row r="29" spans="1:3" ht="16.2" thickBot="1">
      <c r="A29" s="315"/>
      <c r="B29" s="598" t="s">
        <v>1393</v>
      </c>
      <c r="C29" s="598"/>
    </row>
    <row r="30" spans="1:3" ht="16.2" thickBot="1">
      <c r="A30" s="107" t="s">
        <v>283</v>
      </c>
      <c r="B30" s="396" t="s">
        <v>420</v>
      </c>
      <c r="C30" s="250" t="s">
        <v>421</v>
      </c>
    </row>
    <row r="31" spans="1:3">
      <c r="A31" s="111" t="s">
        <v>185</v>
      </c>
      <c r="B31" s="203"/>
      <c r="C31" s="281"/>
    </row>
    <row r="32" spans="1:3">
      <c r="A32" s="113"/>
      <c r="B32" s="108"/>
      <c r="C32" s="189"/>
    </row>
    <row r="33" spans="1:3">
      <c r="A33" s="113" t="s">
        <v>439</v>
      </c>
      <c r="B33" s="58">
        <v>784000000</v>
      </c>
      <c r="C33" s="190">
        <v>899200000</v>
      </c>
    </row>
    <row r="34" spans="1:3">
      <c r="A34" s="108" t="s">
        <v>440</v>
      </c>
      <c r="B34" s="186" t="s">
        <v>242</v>
      </c>
      <c r="C34" s="186" t="s">
        <v>242</v>
      </c>
    </row>
    <row r="35" spans="1:3">
      <c r="A35" s="108" t="s">
        <v>441</v>
      </c>
      <c r="B35" s="186" t="s">
        <v>242</v>
      </c>
      <c r="C35" s="186" t="s">
        <v>242</v>
      </c>
    </row>
    <row r="36" spans="1:3">
      <c r="A36" s="108" t="s">
        <v>442</v>
      </c>
      <c r="B36" s="189"/>
      <c r="C36" s="189"/>
    </row>
    <row r="37" spans="1:3">
      <c r="A37" s="108" t="s">
        <v>443</v>
      </c>
      <c r="B37" s="189"/>
      <c r="C37" s="189"/>
    </row>
    <row r="38" spans="1:3">
      <c r="A38" s="108" t="s">
        <v>452</v>
      </c>
      <c r="B38" s="186" t="s">
        <v>242</v>
      </c>
      <c r="C38" s="186" t="s">
        <v>242</v>
      </c>
    </row>
    <row r="39" spans="1:3">
      <c r="A39" s="108" t="s">
        <v>453</v>
      </c>
      <c r="B39" s="186" t="s">
        <v>242</v>
      </c>
      <c r="C39" s="186" t="s">
        <v>242</v>
      </c>
    </row>
    <row r="40" spans="1:3">
      <c r="A40" s="108" t="s">
        <v>444</v>
      </c>
      <c r="B40" s="186" t="s">
        <v>242</v>
      </c>
      <c r="C40" s="186" t="s">
        <v>242</v>
      </c>
    </row>
    <row r="41" spans="1:3">
      <c r="A41" s="113" t="s">
        <v>445</v>
      </c>
      <c r="B41" s="108"/>
      <c r="C41" s="190">
        <v>415000</v>
      </c>
    </row>
    <row r="42" spans="1:3">
      <c r="A42" s="113" t="s">
        <v>446</v>
      </c>
      <c r="B42" s="58">
        <v>-202875</v>
      </c>
      <c r="C42" s="190">
        <v>500000</v>
      </c>
    </row>
    <row r="43" spans="1:3">
      <c r="A43" s="108" t="s">
        <v>53</v>
      </c>
      <c r="B43" s="186" t="s">
        <v>242</v>
      </c>
      <c r="C43" s="190">
        <v>200000</v>
      </c>
    </row>
    <row r="44" spans="1:3">
      <c r="A44" s="108" t="s">
        <v>54</v>
      </c>
      <c r="B44" s="190">
        <v>-102994</v>
      </c>
      <c r="C44" s="190">
        <v>150000</v>
      </c>
    </row>
    <row r="45" spans="1:3">
      <c r="A45" s="108" t="s">
        <v>1320</v>
      </c>
      <c r="B45" s="186" t="s">
        <v>242</v>
      </c>
      <c r="C45" s="186" t="s">
        <v>242</v>
      </c>
    </row>
    <row r="46" spans="1:3">
      <c r="A46" s="108" t="s">
        <v>426</v>
      </c>
      <c r="B46" s="186" t="s">
        <v>242</v>
      </c>
      <c r="C46" s="186" t="s">
        <v>242</v>
      </c>
    </row>
    <row r="47" spans="1:3">
      <c r="A47" s="108" t="s">
        <v>172</v>
      </c>
      <c r="B47" s="190">
        <v>4900000</v>
      </c>
      <c r="C47" s="190">
        <v>12190000</v>
      </c>
    </row>
    <row r="48" spans="1:3">
      <c r="A48" s="108" t="s">
        <v>173</v>
      </c>
      <c r="B48" s="186" t="s">
        <v>242</v>
      </c>
      <c r="C48" s="186" t="s">
        <v>242</v>
      </c>
    </row>
    <row r="49" spans="1:3">
      <c r="A49" s="108" t="s">
        <v>174</v>
      </c>
      <c r="B49" s="186" t="s">
        <v>242</v>
      </c>
      <c r="C49" s="190">
        <v>-3033007</v>
      </c>
    </row>
    <row r="50" spans="1:3">
      <c r="A50" s="505" t="s">
        <v>1084</v>
      </c>
      <c r="B50" s="190">
        <f>2301000+40000</f>
        <v>2341000</v>
      </c>
      <c r="C50" s="186" t="s">
        <v>242</v>
      </c>
    </row>
    <row r="51" spans="1:3">
      <c r="A51" s="505" t="s">
        <v>175</v>
      </c>
      <c r="B51" s="186" t="s">
        <v>242</v>
      </c>
      <c r="C51" s="186" t="s">
        <v>242</v>
      </c>
    </row>
    <row r="52" spans="1:3">
      <c r="A52" s="505" t="s">
        <v>547</v>
      </c>
      <c r="B52" s="190">
        <v>2110794</v>
      </c>
      <c r="C52" s="190">
        <v>1221434</v>
      </c>
    </row>
    <row r="53" spans="1:3">
      <c r="A53" s="505" t="s">
        <v>558</v>
      </c>
      <c r="B53" s="186" t="s">
        <v>242</v>
      </c>
      <c r="C53" s="186" t="s">
        <v>242</v>
      </c>
    </row>
    <row r="54" spans="1:3">
      <c r="A54" s="505" t="s">
        <v>569</v>
      </c>
      <c r="B54" s="186" t="s">
        <v>242</v>
      </c>
      <c r="C54" s="186" t="s">
        <v>242</v>
      </c>
    </row>
    <row r="55" spans="1:3">
      <c r="A55" s="575" t="s">
        <v>1082</v>
      </c>
      <c r="B55" s="190">
        <v>98225</v>
      </c>
      <c r="C55" s="190">
        <v>204665</v>
      </c>
    </row>
    <row r="56" spans="1:3">
      <c r="A56" s="575" t="s">
        <v>1083</v>
      </c>
      <c r="B56" s="186" t="s">
        <v>242</v>
      </c>
      <c r="C56" s="190">
        <v>4424000</v>
      </c>
    </row>
    <row r="57" spans="1:3">
      <c r="A57" s="505" t="s">
        <v>1085</v>
      </c>
      <c r="B57" s="186" t="s">
        <v>242</v>
      </c>
      <c r="C57" s="190">
        <v>23455000</v>
      </c>
    </row>
    <row r="58" spans="1:3">
      <c r="A58" s="505" t="s">
        <v>1097</v>
      </c>
      <c r="B58" s="186" t="s">
        <v>242</v>
      </c>
      <c r="C58" s="444">
        <v>24420</v>
      </c>
    </row>
    <row r="59" spans="1:3" ht="16.2" thickBot="1">
      <c r="A59" s="507" t="s">
        <v>1194</v>
      </c>
      <c r="B59" s="439">
        <v>2469373</v>
      </c>
      <c r="C59" s="439">
        <v>1801641</v>
      </c>
    </row>
    <row r="60" spans="1:3" ht="16.2" thickBot="1">
      <c r="A60" s="107" t="s">
        <v>265</v>
      </c>
      <c r="B60" s="397">
        <f>SUM(B33:B59)</f>
        <v>795613523</v>
      </c>
      <c r="C60" s="397">
        <f>SUM(C33:C59)</f>
        <v>940753153</v>
      </c>
    </row>
    <row r="61" spans="1:3">
      <c r="B61" s="38"/>
    </row>
    <row r="62" spans="1:3">
      <c r="A62" s="648" t="s">
        <v>1041</v>
      </c>
      <c r="B62" s="648"/>
      <c r="C62" s="648"/>
    </row>
  </sheetData>
  <mergeCells count="6">
    <mergeCell ref="A1:C1"/>
    <mergeCell ref="A3:C3"/>
    <mergeCell ref="B5:C5"/>
    <mergeCell ref="A28:C28"/>
    <mergeCell ref="A62:C62"/>
    <mergeCell ref="B29:C29"/>
  </mergeCells>
  <phoneticPr fontId="0" type="noConversion"/>
  <printOptions horizontalCentered="1"/>
  <pageMargins left="1" right="0.5" top="0.5" bottom="0.65" header="0" footer="0"/>
  <pageSetup paperSize="9" scale="98" orientation="landscape" verticalDpi="300" r:id="rId1"/>
  <headerFooter alignWithMargins="0"/>
  <rowBreaks count="1" manualBreakCount="1">
    <brk id="28" max="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0"/>
  <dimension ref="A1:I33"/>
  <sheetViews>
    <sheetView view="pageBreakPreview" topLeftCell="A13" zoomScaleSheetLayoutView="100" workbookViewId="0">
      <selection activeCell="I22" sqref="I22"/>
    </sheetView>
  </sheetViews>
  <sheetFormatPr defaultColWidth="9.109375" defaultRowHeight="15.6"/>
  <cols>
    <col min="1" max="1" width="67.6640625" style="37" customWidth="1"/>
    <col min="2" max="2" width="16.109375" style="37" customWidth="1"/>
    <col min="3" max="3" width="15.44140625" style="37" customWidth="1"/>
    <col min="4" max="4" width="14.33203125" style="37" customWidth="1"/>
    <col min="5" max="5" width="14.109375" style="37" customWidth="1"/>
    <col min="6" max="16384" width="9.109375" style="37"/>
  </cols>
  <sheetData>
    <row r="1" spans="1:5" ht="21.75" customHeight="1">
      <c r="A1" s="629" t="s">
        <v>261</v>
      </c>
      <c r="B1" s="629"/>
      <c r="C1" s="629"/>
      <c r="D1" s="629"/>
      <c r="E1" s="629"/>
    </row>
    <row r="2" spans="1:5">
      <c r="A2" s="498"/>
      <c r="B2" s="498"/>
      <c r="C2" s="498"/>
      <c r="D2" s="498"/>
    </row>
    <row r="3" spans="1:5" ht="15.75" customHeight="1">
      <c r="A3" s="630" t="s">
        <v>1416</v>
      </c>
      <c r="B3" s="630"/>
      <c r="C3" s="630"/>
      <c r="D3" s="630"/>
      <c r="E3" s="630"/>
    </row>
    <row r="4" spans="1:5" ht="15.75" customHeight="1" thickBot="1">
      <c r="D4" s="598" t="s">
        <v>1393</v>
      </c>
      <c r="E4" s="598"/>
    </row>
    <row r="5" spans="1:5" ht="16.2" thickBot="1">
      <c r="A5" s="608" t="s">
        <v>186</v>
      </c>
      <c r="B5" s="592"/>
      <c r="C5" s="593"/>
      <c r="D5" s="107" t="s">
        <v>420</v>
      </c>
      <c r="E5" s="107" t="s">
        <v>421</v>
      </c>
    </row>
    <row r="6" spans="1:5">
      <c r="A6" s="660" t="s">
        <v>308</v>
      </c>
      <c r="B6" s="661"/>
      <c r="C6" s="662"/>
      <c r="D6" s="203">
        <f>2756273</f>
        <v>2756273</v>
      </c>
      <c r="E6" s="194">
        <f>3381570+816965+85800</f>
        <v>4284335</v>
      </c>
    </row>
    <row r="7" spans="1:5">
      <c r="A7" s="655" t="s">
        <v>187</v>
      </c>
      <c r="B7" s="656"/>
      <c r="C7" s="657"/>
      <c r="D7" s="108">
        <f>748739</f>
        <v>748739</v>
      </c>
      <c r="E7" s="58">
        <v>322175</v>
      </c>
    </row>
    <row r="8" spans="1:5">
      <c r="A8" s="655" t="s">
        <v>272</v>
      </c>
      <c r="B8" s="656"/>
      <c r="C8" s="657"/>
      <c r="D8" s="80" t="s">
        <v>242</v>
      </c>
      <c r="E8" s="80" t="s">
        <v>242</v>
      </c>
    </row>
    <row r="9" spans="1:5">
      <c r="A9" s="655" t="s">
        <v>188</v>
      </c>
      <c r="B9" s="656"/>
      <c r="C9" s="657"/>
      <c r="D9" s="80" t="s">
        <v>242</v>
      </c>
      <c r="E9" s="80" t="s">
        <v>242</v>
      </c>
    </row>
    <row r="10" spans="1:5" ht="16.2" thickBot="1">
      <c r="A10" s="652" t="s">
        <v>256</v>
      </c>
      <c r="B10" s="653"/>
      <c r="C10" s="654"/>
      <c r="D10" s="38">
        <v>1565424</v>
      </c>
      <c r="E10" s="63">
        <v>1004210</v>
      </c>
    </row>
    <row r="11" spans="1:5" ht="16.2" thickBot="1">
      <c r="A11" s="608" t="s">
        <v>422</v>
      </c>
      <c r="B11" s="592"/>
      <c r="C11" s="609"/>
      <c r="D11" s="64">
        <f>SUM(D6:D10)</f>
        <v>5070436</v>
      </c>
      <c r="E11" s="64">
        <f>SUM(E6:E10)</f>
        <v>5610720</v>
      </c>
    </row>
    <row r="12" spans="1:5">
      <c r="A12" s="663"/>
      <c r="B12" s="663"/>
      <c r="C12" s="663"/>
      <c r="D12" s="65"/>
      <c r="E12" s="57" t="s">
        <v>273</v>
      </c>
    </row>
    <row r="13" spans="1:5">
      <c r="A13" s="664" t="s">
        <v>189</v>
      </c>
      <c r="B13" s="664"/>
      <c r="C13" s="664"/>
      <c r="D13" s="65"/>
      <c r="E13" s="57"/>
    </row>
    <row r="14" spans="1:5" ht="16.2" thickBot="1">
      <c r="A14" s="67"/>
      <c r="B14" s="67"/>
      <c r="C14" s="67"/>
      <c r="D14" s="65"/>
      <c r="E14" s="57"/>
    </row>
    <row r="15" spans="1:5" ht="16.2" thickBot="1">
      <c r="A15" s="658" t="s">
        <v>255</v>
      </c>
      <c r="B15" s="608" t="s">
        <v>199</v>
      </c>
      <c r="C15" s="593"/>
      <c r="D15" s="608" t="s">
        <v>200</v>
      </c>
      <c r="E15" s="593"/>
    </row>
    <row r="16" spans="1:5" ht="16.2" thickBot="1">
      <c r="A16" s="659"/>
      <c r="B16" s="119" t="s">
        <v>420</v>
      </c>
      <c r="C16" s="119" t="s">
        <v>421</v>
      </c>
      <c r="D16" s="119" t="s">
        <v>420</v>
      </c>
      <c r="E16" s="119" t="s">
        <v>421</v>
      </c>
    </row>
    <row r="17" spans="1:9">
      <c r="A17" s="111" t="s">
        <v>190</v>
      </c>
      <c r="B17" s="203"/>
      <c r="C17" s="188"/>
      <c r="D17" s="203"/>
      <c r="E17" s="188"/>
    </row>
    <row r="18" spans="1:9">
      <c r="A18" s="113"/>
      <c r="B18" s="108"/>
      <c r="C18" s="189"/>
      <c r="D18" s="108"/>
      <c r="E18" s="189"/>
    </row>
    <row r="19" spans="1:9">
      <c r="A19" s="113" t="s">
        <v>191</v>
      </c>
      <c r="B19" s="108"/>
      <c r="C19" s="189"/>
      <c r="D19" s="108"/>
      <c r="E19" s="189"/>
    </row>
    <row r="20" spans="1:9">
      <c r="A20" s="108" t="s">
        <v>192</v>
      </c>
      <c r="B20" s="191" t="s">
        <v>242</v>
      </c>
      <c r="C20" s="191" t="s">
        <v>242</v>
      </c>
      <c r="D20" s="191" t="s">
        <v>242</v>
      </c>
      <c r="E20" s="191" t="s">
        <v>242</v>
      </c>
      <c r="I20" s="577"/>
    </row>
    <row r="21" spans="1:9">
      <c r="A21" s="108" t="s">
        <v>193</v>
      </c>
      <c r="B21" s="191" t="s">
        <v>242</v>
      </c>
      <c r="C21" s="191" t="s">
        <v>242</v>
      </c>
      <c r="D21" s="191" t="s">
        <v>242</v>
      </c>
      <c r="E21" s="191" t="s">
        <v>242</v>
      </c>
    </row>
    <row r="22" spans="1:9">
      <c r="A22" s="108" t="s">
        <v>194</v>
      </c>
      <c r="B22" s="189"/>
      <c r="C22" s="189"/>
      <c r="D22" s="189"/>
      <c r="E22" s="189"/>
    </row>
    <row r="23" spans="1:9">
      <c r="A23" s="108" t="s">
        <v>195</v>
      </c>
      <c r="B23" s="191" t="s">
        <v>242</v>
      </c>
      <c r="C23" s="191" t="s">
        <v>242</v>
      </c>
      <c r="D23" s="191" t="s">
        <v>242</v>
      </c>
      <c r="E23" s="191" t="s">
        <v>242</v>
      </c>
    </row>
    <row r="24" spans="1:9">
      <c r="A24" s="108" t="s">
        <v>196</v>
      </c>
      <c r="B24" s="191" t="s">
        <v>242</v>
      </c>
      <c r="C24" s="191" t="s">
        <v>242</v>
      </c>
      <c r="D24" s="191" t="s">
        <v>242</v>
      </c>
      <c r="E24" s="191" t="s">
        <v>242</v>
      </c>
    </row>
    <row r="25" spans="1:9">
      <c r="A25" s="108" t="s">
        <v>197</v>
      </c>
      <c r="B25" s="191" t="s">
        <v>242</v>
      </c>
      <c r="C25" s="191" t="s">
        <v>242</v>
      </c>
      <c r="D25" s="191" t="s">
        <v>242</v>
      </c>
      <c r="E25" s="191" t="s">
        <v>242</v>
      </c>
    </row>
    <row r="26" spans="1:9">
      <c r="A26" s="108" t="s">
        <v>198</v>
      </c>
      <c r="B26" s="191" t="s">
        <v>242</v>
      </c>
      <c r="C26" s="191" t="s">
        <v>242</v>
      </c>
      <c r="D26" s="191" t="s">
        <v>242</v>
      </c>
      <c r="E26" s="191" t="s">
        <v>242</v>
      </c>
    </row>
    <row r="27" spans="1:9">
      <c r="A27" s="576" t="s">
        <v>422</v>
      </c>
      <c r="B27" s="191" t="s">
        <v>242</v>
      </c>
      <c r="C27" s="191" t="s">
        <v>242</v>
      </c>
      <c r="D27" s="191" t="s">
        <v>242</v>
      </c>
      <c r="E27" s="191" t="s">
        <v>242</v>
      </c>
    </row>
    <row r="28" spans="1:9">
      <c r="A28" s="108"/>
      <c r="B28" s="189"/>
      <c r="C28" s="189"/>
      <c r="D28" s="189"/>
      <c r="E28" s="189"/>
    </row>
    <row r="29" spans="1:9">
      <c r="A29" s="108" t="s">
        <v>205</v>
      </c>
      <c r="B29" s="191" t="s">
        <v>242</v>
      </c>
      <c r="C29" s="191" t="s">
        <v>242</v>
      </c>
      <c r="D29" s="191" t="s">
        <v>242</v>
      </c>
      <c r="E29" s="191" t="s">
        <v>242</v>
      </c>
    </row>
    <row r="30" spans="1:9" ht="16.2" thickBot="1">
      <c r="A30" s="109"/>
      <c r="B30" s="220"/>
      <c r="C30" s="220"/>
      <c r="D30" s="220"/>
      <c r="E30" s="220"/>
    </row>
    <row r="31" spans="1:9" ht="16.2" thickBot="1">
      <c r="A31" s="107"/>
      <c r="B31" s="251" t="s">
        <v>242</v>
      </c>
      <c r="C31" s="251" t="s">
        <v>242</v>
      </c>
      <c r="D31" s="251" t="s">
        <v>242</v>
      </c>
      <c r="E31" s="251" t="s">
        <v>242</v>
      </c>
    </row>
    <row r="33" spans="1:5">
      <c r="A33" s="648" t="s">
        <v>1042</v>
      </c>
      <c r="B33" s="648"/>
      <c r="C33" s="648"/>
      <c r="D33" s="648"/>
      <c r="E33" s="648"/>
    </row>
  </sheetData>
  <mergeCells count="16">
    <mergeCell ref="A33:E33"/>
    <mergeCell ref="A15:A16"/>
    <mergeCell ref="D15:E15"/>
    <mergeCell ref="A5:C5"/>
    <mergeCell ref="A6:C6"/>
    <mergeCell ref="B15:C15"/>
    <mergeCell ref="A12:C12"/>
    <mergeCell ref="A13:C13"/>
    <mergeCell ref="A1:E1"/>
    <mergeCell ref="A3:E3"/>
    <mergeCell ref="A10:C10"/>
    <mergeCell ref="A11:C11"/>
    <mergeCell ref="D4:E4"/>
    <mergeCell ref="A7:C7"/>
    <mergeCell ref="A8:C8"/>
    <mergeCell ref="A9:C9"/>
  </mergeCells>
  <phoneticPr fontId="0" type="noConversion"/>
  <printOptions horizontalCentered="1"/>
  <pageMargins left="0.98425196850393704" right="0.51181102362204722" top="0.39370078740157483" bottom="0.70866141732283472" header="0" footer="0"/>
  <pageSetup paperSize="9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9">
    <tabColor rgb="FF7030A0"/>
  </sheetPr>
  <dimension ref="A1:D62"/>
  <sheetViews>
    <sheetView view="pageBreakPreview" topLeftCell="A4" zoomScaleSheetLayoutView="100" workbookViewId="0">
      <selection activeCell="E33" sqref="E33"/>
    </sheetView>
  </sheetViews>
  <sheetFormatPr defaultColWidth="9.109375" defaultRowHeight="15.6"/>
  <cols>
    <col min="1" max="1" width="81.109375" style="37" customWidth="1"/>
    <col min="2" max="2" width="16.33203125" style="38" customWidth="1"/>
    <col min="3" max="3" width="17.44140625" style="37" customWidth="1"/>
    <col min="4" max="16384" width="9.109375" style="37"/>
  </cols>
  <sheetData>
    <row r="1" spans="1:4">
      <c r="A1" s="645" t="s">
        <v>332</v>
      </c>
      <c r="B1" s="645"/>
      <c r="C1" s="645"/>
      <c r="D1" s="117"/>
    </row>
    <row r="2" spans="1:4" ht="11.25" customHeight="1">
      <c r="A2" s="500"/>
      <c r="B2" s="477"/>
      <c r="C2" s="500"/>
    </row>
    <row r="3" spans="1:4">
      <c r="A3" s="646" t="s">
        <v>1416</v>
      </c>
      <c r="B3" s="646"/>
      <c r="C3" s="646"/>
      <c r="D3" s="110"/>
    </row>
    <row r="4" spans="1:4" ht="15.75" customHeight="1" thickBot="1">
      <c r="A4" s="501"/>
      <c r="B4" s="665" t="s">
        <v>1400</v>
      </c>
      <c r="C4" s="665"/>
      <c r="D4" s="110"/>
    </row>
    <row r="5" spans="1:4" ht="16.2" thickBot="1">
      <c r="A5" s="141" t="s">
        <v>206</v>
      </c>
      <c r="B5" s="478" t="s">
        <v>420</v>
      </c>
      <c r="C5" s="107" t="s">
        <v>421</v>
      </c>
    </row>
    <row r="6" spans="1:4">
      <c r="A6" s="138"/>
      <c r="B6" s="479"/>
      <c r="C6" s="146"/>
    </row>
    <row r="7" spans="1:4">
      <c r="A7" s="143" t="s">
        <v>207</v>
      </c>
      <c r="B7" s="147" t="s">
        <v>242</v>
      </c>
      <c r="C7" s="147" t="s">
        <v>242</v>
      </c>
    </row>
    <row r="8" spans="1:4">
      <c r="A8" s="143" t="s">
        <v>208</v>
      </c>
      <c r="B8" s="147" t="s">
        <v>242</v>
      </c>
      <c r="C8" s="147" t="s">
        <v>242</v>
      </c>
    </row>
    <row r="9" spans="1:4">
      <c r="A9" s="143" t="s">
        <v>209</v>
      </c>
      <c r="B9" s="147" t="s">
        <v>242</v>
      </c>
      <c r="C9" s="147" t="s">
        <v>242</v>
      </c>
    </row>
    <row r="10" spans="1:4" ht="16.2" thickBot="1">
      <c r="A10" s="578"/>
      <c r="B10" s="148"/>
      <c r="C10" s="148"/>
    </row>
    <row r="11" spans="1:4" ht="16.2" thickBot="1">
      <c r="A11" s="137" t="s">
        <v>422</v>
      </c>
      <c r="B11" s="149" t="s">
        <v>242</v>
      </c>
      <c r="C11" s="149" t="s">
        <v>242</v>
      </c>
    </row>
    <row r="12" spans="1:4" ht="16.2" thickBot="1">
      <c r="A12" s="136"/>
      <c r="B12" s="480"/>
      <c r="C12" s="502"/>
    </row>
    <row r="13" spans="1:4" ht="16.2" thickBot="1">
      <c r="A13" s="404" t="s">
        <v>210</v>
      </c>
      <c r="B13" s="481" t="s">
        <v>420</v>
      </c>
      <c r="C13" s="396" t="s">
        <v>421</v>
      </c>
    </row>
    <row r="14" spans="1:4">
      <c r="A14" s="349"/>
      <c r="B14" s="194"/>
      <c r="C14" s="281"/>
    </row>
    <row r="15" spans="1:4">
      <c r="A15" s="139" t="s">
        <v>211</v>
      </c>
      <c r="B15" s="58"/>
      <c r="C15" s="189"/>
    </row>
    <row r="16" spans="1:4">
      <c r="A16" s="139" t="s">
        <v>212</v>
      </c>
      <c r="B16" s="58">
        <v>24595382</v>
      </c>
      <c r="C16" s="190">
        <f>10754997+3928568</f>
        <v>14683565</v>
      </c>
    </row>
    <row r="17" spans="1:3">
      <c r="A17" s="143" t="s">
        <v>213</v>
      </c>
      <c r="B17" s="147" t="s">
        <v>242</v>
      </c>
      <c r="C17" s="147" t="s">
        <v>242</v>
      </c>
    </row>
    <row r="18" spans="1:3">
      <c r="A18" s="143" t="s">
        <v>214</v>
      </c>
      <c r="B18" s="147" t="s">
        <v>242</v>
      </c>
      <c r="C18" s="147" t="s">
        <v>242</v>
      </c>
    </row>
    <row r="19" spans="1:3">
      <c r="A19" s="143" t="s">
        <v>215</v>
      </c>
      <c r="B19" s="147" t="s">
        <v>242</v>
      </c>
      <c r="C19" s="147" t="s">
        <v>242</v>
      </c>
    </row>
    <row r="20" spans="1:3">
      <c r="A20" s="143" t="s">
        <v>216</v>
      </c>
      <c r="B20" s="189"/>
      <c r="C20" s="189"/>
    </row>
    <row r="21" spans="1:3">
      <c r="A21" s="143" t="s">
        <v>212</v>
      </c>
      <c r="B21" s="147" t="s">
        <v>242</v>
      </c>
      <c r="C21" s="147" t="s">
        <v>242</v>
      </c>
    </row>
    <row r="22" spans="1:3">
      <c r="A22" s="143" t="s">
        <v>213</v>
      </c>
      <c r="B22" s="147" t="s">
        <v>242</v>
      </c>
      <c r="C22" s="147" t="s">
        <v>242</v>
      </c>
    </row>
    <row r="23" spans="1:3">
      <c r="A23" s="143" t="s">
        <v>217</v>
      </c>
      <c r="B23" s="147" t="s">
        <v>242</v>
      </c>
      <c r="C23" s="147" t="s">
        <v>242</v>
      </c>
    </row>
    <row r="24" spans="1:3" s="36" customFormat="1">
      <c r="A24" s="445" t="s">
        <v>167</v>
      </c>
      <c r="B24" s="195">
        <v>80462</v>
      </c>
      <c r="C24" s="190">
        <v>58942</v>
      </c>
    </row>
    <row r="25" spans="1:3" s="36" customFormat="1">
      <c r="A25" s="445" t="s">
        <v>168</v>
      </c>
      <c r="B25" s="58">
        <v>275549</v>
      </c>
      <c r="C25" s="190">
        <f>531950+2105035</f>
        <v>2636985</v>
      </c>
    </row>
    <row r="26" spans="1:3" s="36" customFormat="1">
      <c r="A26" s="445" t="s">
        <v>169</v>
      </c>
      <c r="B26" s="195">
        <v>214923</v>
      </c>
      <c r="C26" s="190">
        <f>455875+2446507</f>
        <v>2902382</v>
      </c>
    </row>
    <row r="27" spans="1:3" s="36" customFormat="1">
      <c r="A27" s="445" t="s">
        <v>171</v>
      </c>
      <c r="B27" s="195">
        <v>7918</v>
      </c>
      <c r="C27" s="190">
        <v>6300</v>
      </c>
    </row>
    <row r="28" spans="1:3">
      <c r="A28" s="445" t="s">
        <v>170</v>
      </c>
      <c r="B28" s="58">
        <v>27417</v>
      </c>
      <c r="C28" s="190">
        <v>50307</v>
      </c>
    </row>
    <row r="29" spans="1:3" s="36" customFormat="1">
      <c r="A29" s="445" t="s">
        <v>548</v>
      </c>
      <c r="B29" s="58">
        <v>42</v>
      </c>
      <c r="C29" s="190">
        <v>35</v>
      </c>
    </row>
    <row r="30" spans="1:3">
      <c r="A30" s="445" t="s">
        <v>549</v>
      </c>
      <c r="B30" s="58">
        <v>542</v>
      </c>
      <c r="C30" s="190">
        <v>2346</v>
      </c>
    </row>
    <row r="31" spans="1:3">
      <c r="A31" s="139" t="s">
        <v>550</v>
      </c>
      <c r="B31" s="58">
        <v>52397</v>
      </c>
      <c r="C31" s="189">
        <v>-233287</v>
      </c>
    </row>
    <row r="32" spans="1:3">
      <c r="A32" s="139" t="s">
        <v>1086</v>
      </c>
      <c r="B32" s="58">
        <v>153571</v>
      </c>
      <c r="C32" s="190">
        <v>11490</v>
      </c>
    </row>
    <row r="33" spans="1:3">
      <c r="A33" s="139" t="s">
        <v>1096</v>
      </c>
      <c r="B33" s="58">
        <v>975</v>
      </c>
      <c r="C33" s="190">
        <v>144</v>
      </c>
    </row>
    <row r="34" spans="1:3" ht="16.2" thickBot="1">
      <c r="A34" s="570" t="s">
        <v>1195</v>
      </c>
      <c r="B34" s="439">
        <v>12251</v>
      </c>
      <c r="C34" s="439">
        <v>5051</v>
      </c>
    </row>
    <row r="35" spans="1:3">
      <c r="A35" s="133"/>
      <c r="C35" s="65"/>
    </row>
    <row r="36" spans="1:3">
      <c r="A36" s="667" t="s">
        <v>1046</v>
      </c>
      <c r="B36" s="667"/>
      <c r="C36" s="667"/>
    </row>
    <row r="37" spans="1:3" ht="16.2" thickBot="1">
      <c r="A37" s="666" t="s">
        <v>1043</v>
      </c>
      <c r="B37" s="666"/>
      <c r="C37" s="435"/>
    </row>
    <row r="38" spans="1:3">
      <c r="A38" s="349" t="s">
        <v>218</v>
      </c>
      <c r="B38" s="194"/>
      <c r="C38" s="281"/>
    </row>
    <row r="39" spans="1:3">
      <c r="A39" s="139" t="s">
        <v>1452</v>
      </c>
      <c r="B39" s="58">
        <v>402286</v>
      </c>
      <c r="C39" s="190">
        <v>138613</v>
      </c>
    </row>
    <row r="40" spans="1:3">
      <c r="A40" s="139" t="s">
        <v>1453</v>
      </c>
      <c r="B40" s="58">
        <v>135586</v>
      </c>
      <c r="C40" s="190">
        <v>60000</v>
      </c>
    </row>
    <row r="41" spans="1:3">
      <c r="A41" s="139" t="s">
        <v>239</v>
      </c>
      <c r="B41" s="58">
        <v>88466</v>
      </c>
      <c r="C41" s="190">
        <v>76078</v>
      </c>
    </row>
    <row r="42" spans="1:3">
      <c r="A42" s="139" t="s">
        <v>215</v>
      </c>
      <c r="B42" s="58">
        <v>6106</v>
      </c>
      <c r="C42" s="147" t="s">
        <v>242</v>
      </c>
    </row>
    <row r="43" spans="1:3">
      <c r="A43" s="139"/>
      <c r="B43" s="58"/>
      <c r="C43" s="147"/>
    </row>
    <row r="44" spans="1:3">
      <c r="A44" s="143" t="s">
        <v>219</v>
      </c>
      <c r="B44" s="147" t="s">
        <v>242</v>
      </c>
      <c r="C44" s="147" t="s">
        <v>242</v>
      </c>
    </row>
    <row r="45" spans="1:3" ht="16.2" thickBot="1">
      <c r="A45" s="570"/>
      <c r="B45" s="439"/>
      <c r="C45" s="433"/>
    </row>
    <row r="46" spans="1:3" ht="16.2" thickBot="1">
      <c r="A46" s="141" t="s">
        <v>422</v>
      </c>
      <c r="B46" s="144">
        <f>SUM(B14:B45)</f>
        <v>26053873</v>
      </c>
      <c r="C46" s="144">
        <f>SUM(C14:C45)</f>
        <v>20398951</v>
      </c>
    </row>
    <row r="47" spans="1:3">
      <c r="A47" s="133"/>
      <c r="B47" s="150"/>
      <c r="C47" s="150"/>
    </row>
    <row r="48" spans="1:3">
      <c r="A48" s="151" t="s">
        <v>220</v>
      </c>
      <c r="B48" s="150"/>
      <c r="C48" s="150"/>
    </row>
    <row r="49" spans="1:3">
      <c r="A49" s="134"/>
      <c r="B49" s="316"/>
      <c r="C49" s="134"/>
    </row>
    <row r="62" spans="1:3">
      <c r="A62" s="648" t="s">
        <v>1044</v>
      </c>
      <c r="B62" s="648"/>
      <c r="C62" s="648"/>
    </row>
  </sheetData>
  <mergeCells count="6">
    <mergeCell ref="A62:C62"/>
    <mergeCell ref="A1:C1"/>
    <mergeCell ref="A3:C3"/>
    <mergeCell ref="B4:C4"/>
    <mergeCell ref="A37:B37"/>
    <mergeCell ref="A36:C36"/>
  </mergeCells>
  <phoneticPr fontId="0" type="noConversion"/>
  <printOptions horizontalCentered="1"/>
  <pageMargins left="0.66" right="0.39" top="0.45" bottom="0.45" header="0" footer="0"/>
  <pageSetup paperSize="9" scale="89" orientation="landscape" horizontalDpi="300" verticalDpi="300" r:id="rId1"/>
  <headerFooter alignWithMargins="0"/>
  <rowBreaks count="1" manualBreakCount="1">
    <brk id="37" max="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8">
    <tabColor rgb="FFFFFF00"/>
  </sheetPr>
  <dimension ref="A1:C65"/>
  <sheetViews>
    <sheetView view="pageBreakPreview" topLeftCell="A10" zoomScaleSheetLayoutView="100" workbookViewId="0">
      <selection activeCell="B19" sqref="B19"/>
    </sheetView>
  </sheetViews>
  <sheetFormatPr defaultColWidth="9.109375" defaultRowHeight="15.6"/>
  <cols>
    <col min="1" max="1" width="90.33203125" style="37" customWidth="1"/>
    <col min="2" max="2" width="15.44140625" style="38" customWidth="1"/>
    <col min="3" max="3" width="18.5546875" style="37" customWidth="1"/>
    <col min="4" max="4" width="10.88671875" style="37" bestFit="1" customWidth="1"/>
    <col min="5" max="16384" width="9.109375" style="37"/>
  </cols>
  <sheetData>
    <row r="1" spans="1:3">
      <c r="A1" s="629" t="s">
        <v>261</v>
      </c>
      <c r="B1" s="629"/>
      <c r="C1" s="629"/>
    </row>
    <row r="2" spans="1:3">
      <c r="A2" s="498"/>
      <c r="B2" s="120"/>
      <c r="C2" s="498"/>
    </row>
    <row r="3" spans="1:3">
      <c r="A3" s="630" t="s">
        <v>1417</v>
      </c>
      <c r="B3" s="630"/>
      <c r="C3" s="630"/>
    </row>
    <row r="4" spans="1:3" ht="15.75" customHeight="1" thickBot="1">
      <c r="A4" s="499"/>
      <c r="B4" s="121"/>
      <c r="C4" s="242" t="s">
        <v>1393</v>
      </c>
    </row>
    <row r="5" spans="1:3" ht="16.2" thickBot="1">
      <c r="A5" s="107" t="s">
        <v>221</v>
      </c>
      <c r="B5" s="464" t="s">
        <v>420</v>
      </c>
      <c r="C5" s="107" t="s">
        <v>421</v>
      </c>
    </row>
    <row r="6" spans="1:3">
      <c r="A6" s="443"/>
      <c r="B6" s="194"/>
      <c r="C6" s="352"/>
    </row>
    <row r="7" spans="1:3">
      <c r="A7" s="113" t="s">
        <v>318</v>
      </c>
      <c r="B7" s="58"/>
      <c r="C7" s="191"/>
    </row>
    <row r="8" spans="1:3">
      <c r="A8" s="265" t="s">
        <v>316</v>
      </c>
      <c r="B8" s="442" t="s">
        <v>242</v>
      </c>
      <c r="C8" s="442" t="s">
        <v>242</v>
      </c>
    </row>
    <row r="9" spans="1:3">
      <c r="A9" s="108" t="s">
        <v>317</v>
      </c>
      <c r="B9" s="442" t="s">
        <v>242</v>
      </c>
      <c r="C9" s="442" t="s">
        <v>242</v>
      </c>
    </row>
    <row r="10" spans="1:3">
      <c r="A10" s="108" t="s">
        <v>319</v>
      </c>
      <c r="B10" s="442" t="s">
        <v>242</v>
      </c>
      <c r="C10" s="442" t="s">
        <v>242</v>
      </c>
    </row>
    <row r="11" spans="1:3">
      <c r="A11" s="108" t="s">
        <v>320</v>
      </c>
      <c r="B11" s="442" t="s">
        <v>242</v>
      </c>
      <c r="C11" s="442" t="s">
        <v>242</v>
      </c>
    </row>
    <row r="12" spans="1:3">
      <c r="A12" s="143" t="s">
        <v>1108</v>
      </c>
      <c r="B12" s="190">
        <v>3547769</v>
      </c>
      <c r="C12" s="190">
        <v>3464247</v>
      </c>
    </row>
    <row r="13" spans="1:3">
      <c r="A13" s="505" t="s">
        <v>467</v>
      </c>
      <c r="B13" s="186" t="s">
        <v>242</v>
      </c>
      <c r="C13" s="186" t="s">
        <v>242</v>
      </c>
    </row>
    <row r="14" spans="1:3" s="36" customFormat="1">
      <c r="A14" s="284" t="s">
        <v>468</v>
      </c>
      <c r="B14" s="195">
        <v>513650</v>
      </c>
      <c r="C14" s="190">
        <v>404400</v>
      </c>
    </row>
    <row r="15" spans="1:3">
      <c r="A15" s="505" t="s">
        <v>984</v>
      </c>
      <c r="B15" s="186" t="s">
        <v>242</v>
      </c>
      <c r="C15" s="190">
        <v>350000</v>
      </c>
    </row>
    <row r="16" spans="1:3">
      <c r="A16" s="284" t="s">
        <v>469</v>
      </c>
      <c r="B16" s="58">
        <v>696890</v>
      </c>
      <c r="C16" s="190">
        <v>1229</v>
      </c>
    </row>
    <row r="17" spans="1:3" s="36" customFormat="1">
      <c r="A17" s="284" t="s">
        <v>470</v>
      </c>
      <c r="B17" s="58">
        <v>9107840</v>
      </c>
      <c r="C17" s="190">
        <v>8350390</v>
      </c>
    </row>
    <row r="18" spans="1:3" s="36" customFormat="1">
      <c r="A18" s="284" t="s">
        <v>471</v>
      </c>
      <c r="B18" s="195">
        <v>7860025</v>
      </c>
      <c r="C18" s="190">
        <v>10066480</v>
      </c>
    </row>
    <row r="19" spans="1:3" s="36" customFormat="1">
      <c r="A19" s="284" t="s">
        <v>472</v>
      </c>
      <c r="B19" s="195">
        <v>26891</v>
      </c>
      <c r="C19" s="190">
        <v>36282</v>
      </c>
    </row>
    <row r="20" spans="1:3">
      <c r="A20" s="505" t="s">
        <v>680</v>
      </c>
      <c r="B20" s="186" t="s">
        <v>242</v>
      </c>
      <c r="C20" s="186" t="s">
        <v>242</v>
      </c>
    </row>
    <row r="21" spans="1:3">
      <c r="A21" s="108" t="s">
        <v>1087</v>
      </c>
      <c r="B21" s="190">
        <v>160238</v>
      </c>
      <c r="C21" s="190">
        <v>43120</v>
      </c>
    </row>
    <row r="22" spans="1:3">
      <c r="A22" s="108" t="s">
        <v>1088</v>
      </c>
      <c r="B22" s="186" t="s">
        <v>242</v>
      </c>
      <c r="C22" s="190">
        <v>20312</v>
      </c>
    </row>
    <row r="23" spans="1:3" ht="16.2" thickBot="1">
      <c r="A23" s="290" t="s">
        <v>1089</v>
      </c>
      <c r="B23" s="61">
        <v>6400</v>
      </c>
      <c r="C23" s="444">
        <v>67545</v>
      </c>
    </row>
    <row r="24" spans="1:3" ht="16.2" thickBot="1">
      <c r="A24" s="249" t="s">
        <v>422</v>
      </c>
      <c r="B24" s="64">
        <f>SUM(B7:B23)</f>
        <v>21919703</v>
      </c>
      <c r="C24" s="64">
        <f>SUM(C7:C23)</f>
        <v>22804005</v>
      </c>
    </row>
    <row r="25" spans="1:3" ht="16.2" thickBot="1">
      <c r="A25" s="57"/>
      <c r="B25" s="65"/>
      <c r="C25" s="57"/>
    </row>
    <row r="26" spans="1:3">
      <c r="A26" s="668" t="s">
        <v>494</v>
      </c>
      <c r="B26" s="670" t="s">
        <v>420</v>
      </c>
      <c r="C26" s="672" t="s">
        <v>421</v>
      </c>
    </row>
    <row r="27" spans="1:3" ht="8.25" customHeight="1" thickBot="1">
      <c r="A27" s="669"/>
      <c r="B27" s="671"/>
      <c r="C27" s="673"/>
    </row>
    <row r="28" spans="1:3">
      <c r="A28" s="112"/>
      <c r="B28" s="482"/>
      <c r="C28" s="203"/>
    </row>
    <row r="29" spans="1:3">
      <c r="A29" s="108" t="s">
        <v>516</v>
      </c>
      <c r="B29" s="347"/>
      <c r="C29" s="108"/>
    </row>
    <row r="30" spans="1:3">
      <c r="A30" s="108" t="s">
        <v>285</v>
      </c>
      <c r="B30" s="38">
        <v>18429547.289999999</v>
      </c>
      <c r="C30" s="58">
        <f>35411696.32</f>
        <v>35411696.32</v>
      </c>
    </row>
    <row r="31" spans="1:3">
      <c r="A31" s="108" t="s">
        <v>222</v>
      </c>
      <c r="B31" s="327" t="s">
        <v>242</v>
      </c>
      <c r="C31" s="271" t="s">
        <v>242</v>
      </c>
    </row>
    <row r="32" spans="1:3">
      <c r="A32" s="108"/>
      <c r="B32" s="347"/>
      <c r="C32" s="108"/>
    </row>
    <row r="33" spans="1:3">
      <c r="A33" s="108" t="s">
        <v>223</v>
      </c>
      <c r="B33" s="347"/>
      <c r="C33" s="58"/>
    </row>
    <row r="34" spans="1:3">
      <c r="A34" s="108" t="s">
        <v>285</v>
      </c>
      <c r="B34" s="483">
        <v>35411696.32</v>
      </c>
      <c r="C34" s="108">
        <v>35785746.460000001</v>
      </c>
    </row>
    <row r="35" spans="1:3">
      <c r="A35" s="108" t="s">
        <v>222</v>
      </c>
      <c r="B35" s="484" t="s">
        <v>242</v>
      </c>
      <c r="C35" s="114" t="s">
        <v>242</v>
      </c>
    </row>
    <row r="36" spans="1:3">
      <c r="A36" s="108"/>
      <c r="B36" s="347"/>
      <c r="C36" s="108"/>
    </row>
    <row r="37" spans="1:3" ht="16.2" thickBot="1">
      <c r="A37" s="109"/>
      <c r="B37" s="348"/>
      <c r="C37" s="262"/>
    </row>
    <row r="38" spans="1:3" ht="16.2" thickBot="1">
      <c r="A38" s="107" t="s">
        <v>495</v>
      </c>
      <c r="B38" s="64">
        <f>B30-B34</f>
        <v>-16982149.030000001</v>
      </c>
      <c r="C38" s="64">
        <f>C30-C34</f>
        <v>-374050.1400000006</v>
      </c>
    </row>
    <row r="39" spans="1:3">
      <c r="A39" s="57"/>
      <c r="B39" s="399"/>
      <c r="C39" s="493"/>
    </row>
    <row r="40" spans="1:3">
      <c r="A40" s="621" t="s">
        <v>1045</v>
      </c>
      <c r="B40" s="621"/>
      <c r="C40" s="621"/>
    </row>
    <row r="41" spans="1:3">
      <c r="A41" s="629" t="s">
        <v>261</v>
      </c>
      <c r="B41" s="629"/>
      <c r="C41" s="629"/>
    </row>
    <row r="42" spans="1:3">
      <c r="A42" s="498"/>
      <c r="B42" s="120"/>
      <c r="C42" s="498"/>
    </row>
    <row r="43" spans="1:3">
      <c r="A43" s="630" t="s">
        <v>1417</v>
      </c>
      <c r="B43" s="630"/>
      <c r="C43" s="630"/>
    </row>
    <row r="44" spans="1:3">
      <c r="A44" s="499"/>
      <c r="B44" s="121"/>
      <c r="C44" s="499"/>
    </row>
    <row r="45" spans="1:3" ht="16.2" thickBot="1">
      <c r="A45" s="499"/>
      <c r="B45" s="121"/>
      <c r="C45" s="242" t="s">
        <v>1393</v>
      </c>
    </row>
    <row r="46" spans="1:3" ht="16.2" thickBot="1">
      <c r="A46" s="107" t="s">
        <v>224</v>
      </c>
      <c r="B46" s="464" t="s">
        <v>420</v>
      </c>
      <c r="C46" s="250" t="s">
        <v>421</v>
      </c>
    </row>
    <row r="47" spans="1:3">
      <c r="A47" s="111"/>
      <c r="B47" s="194"/>
      <c r="C47" s="281"/>
    </row>
    <row r="48" spans="1:3">
      <c r="A48" s="113" t="s">
        <v>281</v>
      </c>
      <c r="B48" s="58">
        <f>555977198+6671309+7755613</f>
        <v>570404120</v>
      </c>
      <c r="C48" s="190">
        <f>496850166+16274995</f>
        <v>513125161</v>
      </c>
    </row>
    <row r="49" spans="1:3">
      <c r="A49" s="113" t="s">
        <v>280</v>
      </c>
      <c r="B49" s="58">
        <v>283900</v>
      </c>
      <c r="C49" s="190">
        <v>416000</v>
      </c>
    </row>
    <row r="50" spans="1:3">
      <c r="A50" s="108" t="s">
        <v>225</v>
      </c>
      <c r="B50" s="442" t="s">
        <v>242</v>
      </c>
      <c r="C50" s="442" t="s">
        <v>242</v>
      </c>
    </row>
    <row r="51" spans="1:3">
      <c r="A51" s="108" t="s">
        <v>226</v>
      </c>
      <c r="B51" s="442" t="s">
        <v>242</v>
      </c>
      <c r="C51" s="442" t="s">
        <v>242</v>
      </c>
    </row>
    <row r="52" spans="1:3">
      <c r="A52" s="108" t="s">
        <v>227</v>
      </c>
      <c r="B52" s="442" t="s">
        <v>242</v>
      </c>
      <c r="C52" s="442" t="s">
        <v>242</v>
      </c>
    </row>
    <row r="53" spans="1:3">
      <c r="A53" s="113" t="s">
        <v>1107</v>
      </c>
      <c r="B53" s="58">
        <f>3130058+147170+31662</f>
        <v>3308890</v>
      </c>
      <c r="C53" s="190">
        <f>2094064</f>
        <v>2094064</v>
      </c>
    </row>
    <row r="54" spans="1:3">
      <c r="A54" s="113" t="s">
        <v>1105</v>
      </c>
      <c r="B54" s="58">
        <f>11155794+57802</f>
        <v>11213596</v>
      </c>
      <c r="C54" s="190">
        <f>6910796+723553+58228</f>
        <v>7692577</v>
      </c>
    </row>
    <row r="55" spans="1:3">
      <c r="A55" s="113" t="s">
        <v>1106</v>
      </c>
      <c r="B55" s="58"/>
      <c r="C55" s="190"/>
    </row>
    <row r="56" spans="1:3">
      <c r="A56" s="113" t="s">
        <v>250</v>
      </c>
      <c r="B56" s="58">
        <f>17423532+78848+2995218</f>
        <v>20497598</v>
      </c>
      <c r="C56" s="190">
        <f>19725804+11331</f>
        <v>19737135</v>
      </c>
    </row>
    <row r="57" spans="1:3">
      <c r="A57" s="113" t="s">
        <v>527</v>
      </c>
      <c r="B57" s="58">
        <f>65775698+6449577</f>
        <v>72225275</v>
      </c>
      <c r="C57" s="190">
        <f>52376304+11556673</f>
        <v>63932977</v>
      </c>
    </row>
    <row r="58" spans="1:3">
      <c r="A58" s="113" t="s">
        <v>286</v>
      </c>
      <c r="B58" s="58">
        <f>28342829+7904</f>
        <v>28350733</v>
      </c>
      <c r="C58" s="190">
        <v>23475105</v>
      </c>
    </row>
    <row r="59" spans="1:3" ht="16.2" thickBot="1">
      <c r="A59" s="115"/>
      <c r="B59" s="61"/>
      <c r="C59" s="439"/>
    </row>
    <row r="60" spans="1:3" ht="16.2" thickBot="1">
      <c r="A60" s="107" t="s">
        <v>422</v>
      </c>
      <c r="B60" s="187">
        <f>SUM(B47:B59)</f>
        <v>706284112</v>
      </c>
      <c r="C60" s="187">
        <f>SUM(C47:C59)</f>
        <v>630473019</v>
      </c>
    </row>
    <row r="65" spans="1:3">
      <c r="A65" s="648" t="s">
        <v>1401</v>
      </c>
      <c r="B65" s="648"/>
      <c r="C65" s="648"/>
    </row>
  </sheetData>
  <mergeCells count="9">
    <mergeCell ref="A65:C65"/>
    <mergeCell ref="A41:C41"/>
    <mergeCell ref="A43:C43"/>
    <mergeCell ref="A1:C1"/>
    <mergeCell ref="A3:C3"/>
    <mergeCell ref="A26:A27"/>
    <mergeCell ref="B26:B27"/>
    <mergeCell ref="C26:C27"/>
    <mergeCell ref="A40:C40"/>
  </mergeCells>
  <phoneticPr fontId="0" type="noConversion"/>
  <printOptions horizontalCentered="1"/>
  <pageMargins left="0.98425196850393704" right="0.51181102362204722" top="0.31496062992125984" bottom="0.39370078740157483" header="0" footer="0"/>
  <pageSetup paperSize="9" scale="89" orientation="landscape" horizontalDpi="300" verticalDpi="300" r:id="rId1"/>
  <headerFooter alignWithMargins="0"/>
  <rowBreaks count="1" manualBreakCount="1">
    <brk id="40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6">
    <tabColor rgb="FF7030A0"/>
  </sheetPr>
  <dimension ref="A1:G116"/>
  <sheetViews>
    <sheetView view="pageBreakPreview" topLeftCell="A91" zoomScale="110" zoomScaleSheetLayoutView="110" workbookViewId="0">
      <selection activeCell="G12" sqref="G12"/>
    </sheetView>
  </sheetViews>
  <sheetFormatPr defaultColWidth="9.109375" defaultRowHeight="15.6"/>
  <cols>
    <col min="1" max="1" width="3.44140625" style="37" customWidth="1"/>
    <col min="2" max="2" width="77.44140625" style="37" customWidth="1"/>
    <col min="3" max="3" width="16.5546875" style="37" bestFit="1" customWidth="1"/>
    <col min="4" max="4" width="16.88671875" style="37" bestFit="1" customWidth="1"/>
    <col min="5" max="5" width="11.88671875" style="57" bestFit="1" customWidth="1"/>
    <col min="6" max="6" width="10.88671875" style="57" bestFit="1" customWidth="1"/>
    <col min="7" max="16384" width="9.109375" style="57"/>
  </cols>
  <sheetData>
    <row r="1" spans="1:7">
      <c r="A1" s="629" t="s">
        <v>261</v>
      </c>
      <c r="B1" s="629"/>
      <c r="C1" s="629"/>
      <c r="D1" s="629"/>
    </row>
    <row r="2" spans="1:7">
      <c r="B2" s="498"/>
      <c r="C2" s="498"/>
      <c r="D2" s="498"/>
    </row>
    <row r="3" spans="1:7">
      <c r="A3" s="630" t="s">
        <v>1416</v>
      </c>
      <c r="B3" s="630"/>
      <c r="C3" s="630"/>
      <c r="D3" s="630"/>
    </row>
    <row r="5" spans="1:7" ht="16.2" thickBot="1">
      <c r="D5" s="242" t="s">
        <v>1393</v>
      </c>
    </row>
    <row r="6" spans="1:7" ht="16.2" thickBot="1">
      <c r="A6" s="608" t="s">
        <v>228</v>
      </c>
      <c r="B6" s="609"/>
      <c r="C6" s="396" t="s">
        <v>420</v>
      </c>
      <c r="D6" s="250" t="s">
        <v>421</v>
      </c>
    </row>
    <row r="7" spans="1:7">
      <c r="A7" s="203"/>
      <c r="B7" s="203" t="s">
        <v>311</v>
      </c>
      <c r="C7" s="436" t="s">
        <v>242</v>
      </c>
      <c r="D7" s="436" t="s">
        <v>242</v>
      </c>
    </row>
    <row r="8" spans="1:7">
      <c r="A8" s="108"/>
      <c r="B8" s="108" t="s">
        <v>312</v>
      </c>
      <c r="C8" s="437" t="s">
        <v>242</v>
      </c>
      <c r="D8" s="437" t="s">
        <v>242</v>
      </c>
    </row>
    <row r="9" spans="1:7">
      <c r="A9" s="108"/>
      <c r="B9" s="108" t="s">
        <v>313</v>
      </c>
      <c r="C9" s="437" t="s">
        <v>242</v>
      </c>
      <c r="D9" s="437" t="s">
        <v>242</v>
      </c>
    </row>
    <row r="10" spans="1:7" ht="16.2" thickBot="1">
      <c r="A10" s="108"/>
      <c r="B10" s="108" t="s">
        <v>314</v>
      </c>
      <c r="C10" s="190">
        <f>28475413+2924512</f>
        <v>31399925</v>
      </c>
      <c r="D10" s="190">
        <f>23236047+2046146</f>
        <v>25282193</v>
      </c>
    </row>
    <row r="11" spans="1:7">
      <c r="A11" s="108"/>
      <c r="B11" s="108" t="s">
        <v>1270</v>
      </c>
      <c r="C11" s="437" t="s">
        <v>242</v>
      </c>
      <c r="D11" s="437" t="s">
        <v>242</v>
      </c>
      <c r="G11" s="574"/>
    </row>
    <row r="12" spans="1:7">
      <c r="A12" s="108"/>
      <c r="B12" s="108" t="s">
        <v>1271</v>
      </c>
      <c r="C12" s="437" t="s">
        <v>242</v>
      </c>
      <c r="D12" s="437" t="s">
        <v>242</v>
      </c>
    </row>
    <row r="13" spans="1:7">
      <c r="A13" s="108"/>
      <c r="B13" s="108" t="s">
        <v>1272</v>
      </c>
      <c r="C13" s="190">
        <f>1880453+221562</f>
        <v>2102015</v>
      </c>
      <c r="D13" s="190">
        <f>1796794+86396</f>
        <v>1883190</v>
      </c>
    </row>
    <row r="14" spans="1:7">
      <c r="A14" s="108"/>
      <c r="B14" s="108" t="s">
        <v>1273</v>
      </c>
      <c r="C14" s="190">
        <v>1988814</v>
      </c>
      <c r="D14" s="190">
        <v>1558981</v>
      </c>
    </row>
    <row r="15" spans="1:7">
      <c r="A15" s="108"/>
      <c r="B15" s="108" t="s">
        <v>1274</v>
      </c>
      <c r="C15" s="190">
        <f>10257619+1644170</f>
        <v>11901789</v>
      </c>
      <c r="D15" s="190">
        <f>6704787+2311650</f>
        <v>9016437</v>
      </c>
    </row>
    <row r="16" spans="1:7" ht="48.75" customHeight="1">
      <c r="A16" s="108"/>
      <c r="B16" s="579" t="s">
        <v>1275</v>
      </c>
      <c r="C16" s="190">
        <f>1467930+23583+3330+204156+2513527+109100+4079512+4229065+938051+1950420+1815222+7054</f>
        <v>17340950</v>
      </c>
      <c r="D16" s="190">
        <v>20322326</v>
      </c>
      <c r="E16" s="57">
        <v>17420294</v>
      </c>
    </row>
    <row r="17" spans="1:5">
      <c r="A17" s="108"/>
      <c r="B17" s="108" t="s">
        <v>1276</v>
      </c>
      <c r="C17" s="190">
        <v>282738</v>
      </c>
      <c r="D17" s="190">
        <f>271546</f>
        <v>271546</v>
      </c>
      <c r="E17" s="65">
        <f>E16-C16</f>
        <v>79344</v>
      </c>
    </row>
    <row r="18" spans="1:5">
      <c r="A18" s="108"/>
      <c r="B18" s="108" t="s">
        <v>1277</v>
      </c>
      <c r="C18" s="437" t="s">
        <v>242</v>
      </c>
      <c r="D18" s="437" t="s">
        <v>242</v>
      </c>
    </row>
    <row r="19" spans="1:5">
      <c r="A19" s="108"/>
      <c r="B19" s="278" t="s">
        <v>1278</v>
      </c>
      <c r="C19" s="58">
        <v>138100</v>
      </c>
      <c r="D19" s="190">
        <v>150100</v>
      </c>
    </row>
    <row r="20" spans="1:5">
      <c r="A20" s="108"/>
      <c r="B20" s="108" t="s">
        <v>1279</v>
      </c>
      <c r="C20" s="437" t="s">
        <v>242</v>
      </c>
      <c r="D20" s="437" t="s">
        <v>242</v>
      </c>
    </row>
    <row r="21" spans="1:5">
      <c r="A21" s="108"/>
      <c r="B21" s="108" t="s">
        <v>1280</v>
      </c>
      <c r="C21" s="437" t="s">
        <v>242</v>
      </c>
      <c r="D21" s="437" t="s">
        <v>242</v>
      </c>
    </row>
    <row r="22" spans="1:5">
      <c r="A22" s="108"/>
      <c r="B22" s="108" t="s">
        <v>1281</v>
      </c>
      <c r="C22" s="437" t="s">
        <v>242</v>
      </c>
      <c r="D22" s="437" t="s">
        <v>242</v>
      </c>
    </row>
    <row r="23" spans="1:5">
      <c r="A23" s="108"/>
      <c r="B23" s="108" t="s">
        <v>1282</v>
      </c>
      <c r="C23" s="437" t="s">
        <v>242</v>
      </c>
      <c r="D23" s="437" t="s">
        <v>242</v>
      </c>
    </row>
    <row r="24" spans="1:5">
      <c r="A24" s="108"/>
      <c r="B24" s="108" t="s">
        <v>1283</v>
      </c>
      <c r="C24" s="437" t="s">
        <v>242</v>
      </c>
      <c r="D24" s="437" t="s">
        <v>242</v>
      </c>
    </row>
    <row r="25" spans="1:5">
      <c r="A25" s="108"/>
      <c r="B25" s="108" t="s">
        <v>1284</v>
      </c>
      <c r="C25" s="437" t="s">
        <v>242</v>
      </c>
      <c r="D25" s="437" t="s">
        <v>242</v>
      </c>
    </row>
    <row r="26" spans="1:5" ht="16.2" thickBot="1">
      <c r="A26" s="262"/>
      <c r="B26" s="262" t="s">
        <v>1285</v>
      </c>
      <c r="C26" s="438" t="s">
        <v>242</v>
      </c>
      <c r="D26" s="438" t="s">
        <v>242</v>
      </c>
    </row>
    <row r="27" spans="1:5">
      <c r="A27" s="649" t="s">
        <v>1403</v>
      </c>
      <c r="B27" s="649"/>
      <c r="C27" s="631"/>
      <c r="D27" s="649"/>
    </row>
    <row r="28" spans="1:5">
      <c r="A28" s="497"/>
      <c r="B28" s="497"/>
      <c r="C28" s="497"/>
      <c r="D28" s="497"/>
    </row>
    <row r="29" spans="1:5">
      <c r="A29" s="497"/>
      <c r="B29" s="497"/>
      <c r="C29" s="497"/>
      <c r="D29" s="497"/>
    </row>
    <row r="30" spans="1:5">
      <c r="A30" s="621" t="s">
        <v>1402</v>
      </c>
      <c r="B30" s="621"/>
      <c r="C30" s="621"/>
      <c r="D30" s="621"/>
    </row>
    <row r="31" spans="1:5" ht="16.2" thickBot="1">
      <c r="A31" s="315"/>
      <c r="B31" s="315"/>
      <c r="C31" s="493"/>
      <c r="D31" s="315"/>
    </row>
    <row r="32" spans="1:5">
      <c r="A32" s="203"/>
      <c r="B32" s="312" t="s">
        <v>1286</v>
      </c>
      <c r="C32" s="194">
        <v>2746224</v>
      </c>
      <c r="D32" s="352">
        <f>1113284+920</f>
        <v>1114204</v>
      </c>
    </row>
    <row r="33" spans="1:4">
      <c r="A33" s="108"/>
      <c r="B33" s="505" t="s">
        <v>1287</v>
      </c>
      <c r="C33" s="190">
        <v>701384</v>
      </c>
      <c r="D33" s="437" t="s">
        <v>242</v>
      </c>
    </row>
    <row r="34" spans="1:4">
      <c r="A34" s="108"/>
      <c r="B34" s="108" t="s">
        <v>1288</v>
      </c>
      <c r="C34" s="437" t="s">
        <v>242</v>
      </c>
      <c r="D34" s="437" t="s">
        <v>242</v>
      </c>
    </row>
    <row r="35" spans="1:4">
      <c r="A35" s="108"/>
      <c r="B35" s="505" t="s">
        <v>1289</v>
      </c>
      <c r="C35" s="190">
        <v>202720</v>
      </c>
      <c r="D35" s="190">
        <f>132223</f>
        <v>132223</v>
      </c>
    </row>
    <row r="36" spans="1:4">
      <c r="A36" s="108"/>
      <c r="B36" s="108" t="s">
        <v>1290</v>
      </c>
      <c r="C36" s="190">
        <v>213000</v>
      </c>
      <c r="D36" s="190">
        <v>189000</v>
      </c>
    </row>
    <row r="37" spans="1:4">
      <c r="A37" s="108"/>
      <c r="B37" s="108" t="s">
        <v>1291</v>
      </c>
      <c r="C37" s="437" t="s">
        <v>242</v>
      </c>
      <c r="D37" s="437" t="s">
        <v>242</v>
      </c>
    </row>
    <row r="38" spans="1:4" ht="16.2" thickBot="1">
      <c r="A38" s="262"/>
      <c r="B38" s="262" t="s">
        <v>1292</v>
      </c>
      <c r="C38" s="439">
        <f>4124604+658632</f>
        <v>4783236</v>
      </c>
      <c r="D38" s="439">
        <v>3114756</v>
      </c>
    </row>
    <row r="39" spans="1:4">
      <c r="A39" s="676" t="s">
        <v>1405</v>
      </c>
      <c r="B39" s="676"/>
      <c r="C39" s="676"/>
      <c r="D39" s="676"/>
    </row>
    <row r="40" spans="1:4">
      <c r="A40" s="503"/>
      <c r="B40" s="503"/>
      <c r="C40" s="503"/>
      <c r="D40" s="503"/>
    </row>
    <row r="41" spans="1:4">
      <c r="A41" s="503"/>
      <c r="B41" s="503"/>
      <c r="C41" s="503"/>
      <c r="D41" s="503"/>
    </row>
    <row r="42" spans="1:4">
      <c r="A42" s="503"/>
      <c r="B42" s="503"/>
      <c r="C42" s="503"/>
      <c r="D42" s="503"/>
    </row>
    <row r="43" spans="1:4">
      <c r="A43" s="503"/>
      <c r="B43" s="503"/>
      <c r="C43" s="503"/>
      <c r="D43" s="503"/>
    </row>
    <row r="44" spans="1:4">
      <c r="A44" s="503"/>
      <c r="B44" s="503"/>
      <c r="C44" s="503"/>
      <c r="D44" s="503"/>
    </row>
    <row r="45" spans="1:4">
      <c r="A45" s="503"/>
      <c r="B45" s="503"/>
      <c r="C45" s="503"/>
      <c r="D45" s="503"/>
    </row>
    <row r="46" spans="1:4">
      <c r="A46" s="503"/>
      <c r="B46" s="503"/>
      <c r="C46" s="503"/>
      <c r="D46" s="503"/>
    </row>
    <row r="47" spans="1:4">
      <c r="A47" s="503"/>
      <c r="B47" s="503"/>
      <c r="C47" s="503"/>
      <c r="D47" s="503"/>
    </row>
    <row r="48" spans="1:4">
      <c r="A48" s="503"/>
      <c r="B48" s="503"/>
      <c r="C48" s="503"/>
      <c r="D48" s="503"/>
    </row>
    <row r="49" spans="1:5">
      <c r="A49" s="503"/>
      <c r="B49" s="503"/>
      <c r="C49" s="503"/>
      <c r="D49" s="503"/>
    </row>
    <row r="50" spans="1:5">
      <c r="A50" s="675" t="s">
        <v>1404</v>
      </c>
      <c r="B50" s="675"/>
      <c r="C50" s="675"/>
      <c r="D50" s="675"/>
    </row>
    <row r="51" spans="1:5">
      <c r="A51" s="629" t="s">
        <v>261</v>
      </c>
      <c r="B51" s="629"/>
      <c r="C51" s="629"/>
      <c r="D51" s="629"/>
    </row>
    <row r="52" spans="1:5" ht="12.75" customHeight="1">
      <c r="B52" s="498"/>
      <c r="C52" s="498"/>
      <c r="D52" s="498"/>
    </row>
    <row r="53" spans="1:5">
      <c r="A53" s="630" t="s">
        <v>1416</v>
      </c>
      <c r="B53" s="630"/>
      <c r="C53" s="630"/>
      <c r="D53" s="630"/>
    </row>
    <row r="54" spans="1:5" ht="14.25" customHeight="1"/>
    <row r="55" spans="1:5" ht="16.2" thickBot="1">
      <c r="D55" s="242" t="s">
        <v>1393</v>
      </c>
    </row>
    <row r="56" spans="1:5" ht="16.2" thickBot="1">
      <c r="A56" s="608" t="s">
        <v>257</v>
      </c>
      <c r="B56" s="674"/>
      <c r="C56" s="396" t="s">
        <v>420</v>
      </c>
      <c r="D56" s="107" t="s">
        <v>421</v>
      </c>
      <c r="E56" s="65"/>
    </row>
    <row r="57" spans="1:5">
      <c r="A57" s="203"/>
      <c r="B57" s="312" t="s">
        <v>1293</v>
      </c>
      <c r="C57" s="194">
        <f>3345735+1289412</f>
        <v>4635147</v>
      </c>
      <c r="D57" s="352">
        <f>3374861+10800</f>
        <v>3385661</v>
      </c>
    </row>
    <row r="58" spans="1:5">
      <c r="A58" s="108"/>
      <c r="B58" s="278" t="s">
        <v>1294</v>
      </c>
      <c r="C58" s="58">
        <f>6454404+189529</f>
        <v>6643933</v>
      </c>
      <c r="D58" s="440">
        <f>5077730</f>
        <v>5077730</v>
      </c>
    </row>
    <row r="59" spans="1:5">
      <c r="A59" s="108"/>
      <c r="B59" s="278" t="s">
        <v>1295</v>
      </c>
      <c r="C59" s="58">
        <v>219563</v>
      </c>
      <c r="D59" s="190">
        <v>90207</v>
      </c>
    </row>
    <row r="60" spans="1:5">
      <c r="A60" s="108"/>
      <c r="B60" s="278" t="s">
        <v>1296</v>
      </c>
      <c r="C60" s="271" t="s">
        <v>242</v>
      </c>
      <c r="D60" s="437" t="s">
        <v>242</v>
      </c>
    </row>
    <row r="61" spans="1:5">
      <c r="A61" s="108"/>
      <c r="B61" s="278" t="s">
        <v>493</v>
      </c>
      <c r="C61" s="58">
        <f>107624048+760301+11573720-136500</f>
        <v>119821569</v>
      </c>
      <c r="D61" s="190">
        <f>94470335+17937</f>
        <v>94488272</v>
      </c>
    </row>
    <row r="62" spans="1:5">
      <c r="A62" s="108"/>
      <c r="B62" s="278" t="s">
        <v>91</v>
      </c>
      <c r="C62" s="58">
        <f>4918061+40304</f>
        <v>4958365</v>
      </c>
      <c r="D62" s="190">
        <f>3164827+51111+37800+69406</f>
        <v>3323144</v>
      </c>
      <c r="E62" s="65"/>
    </row>
    <row r="63" spans="1:5">
      <c r="A63" s="108"/>
      <c r="B63" s="278" t="s">
        <v>1313</v>
      </c>
      <c r="C63" s="58">
        <v>122527</v>
      </c>
      <c r="D63" s="190">
        <v>155625</v>
      </c>
    </row>
    <row r="64" spans="1:5">
      <c r="A64" s="108"/>
      <c r="B64" s="278" t="s">
        <v>1314</v>
      </c>
      <c r="C64" s="58">
        <f>686709+272380</f>
        <v>959089</v>
      </c>
      <c r="D64" s="190">
        <f>748378</f>
        <v>748378</v>
      </c>
    </row>
    <row r="65" spans="1:4">
      <c r="A65" s="108"/>
      <c r="B65" s="278" t="s">
        <v>1315</v>
      </c>
      <c r="C65" s="58">
        <f>10154351+2483453+4433601</f>
        <v>17071405</v>
      </c>
      <c r="D65" s="190">
        <f>13727365+422251</f>
        <v>14149616</v>
      </c>
    </row>
    <row r="66" spans="1:4">
      <c r="A66" s="108"/>
      <c r="B66" s="278" t="s">
        <v>1316</v>
      </c>
      <c r="C66" s="58">
        <f>1102870+150905</f>
        <v>1253775</v>
      </c>
      <c r="D66" s="190">
        <f>1032048+102959</f>
        <v>1135007</v>
      </c>
    </row>
    <row r="67" spans="1:4">
      <c r="A67" s="108"/>
      <c r="B67" s="278" t="s">
        <v>1317</v>
      </c>
      <c r="C67" s="58">
        <v>3488</v>
      </c>
      <c r="D67" s="190">
        <f>2191</f>
        <v>2191</v>
      </c>
    </row>
    <row r="68" spans="1:4">
      <c r="A68" s="108"/>
      <c r="B68" s="108" t="s">
        <v>1318</v>
      </c>
      <c r="C68" s="437" t="s">
        <v>242</v>
      </c>
      <c r="D68" s="186" t="s">
        <v>242</v>
      </c>
    </row>
    <row r="69" spans="1:4">
      <c r="A69" s="108"/>
      <c r="B69" s="108" t="s">
        <v>1319</v>
      </c>
      <c r="C69" s="190">
        <v>3822512</v>
      </c>
      <c r="D69" s="190">
        <v>5708907</v>
      </c>
    </row>
    <row r="70" spans="1:4">
      <c r="A70" s="108"/>
      <c r="B70" s="505" t="s">
        <v>1297</v>
      </c>
      <c r="C70" s="437" t="s">
        <v>242</v>
      </c>
      <c r="D70" s="186" t="s">
        <v>242</v>
      </c>
    </row>
    <row r="71" spans="1:4">
      <c r="A71" s="108"/>
      <c r="B71" s="505" t="s">
        <v>1298</v>
      </c>
      <c r="C71" s="437" t="s">
        <v>242</v>
      </c>
      <c r="D71" s="186" t="s">
        <v>242</v>
      </c>
    </row>
    <row r="72" spans="1:4">
      <c r="A72" s="108"/>
      <c r="B72" s="505" t="s">
        <v>1299</v>
      </c>
      <c r="C72" s="190">
        <v>174105</v>
      </c>
      <c r="D72" s="186" t="s">
        <v>242</v>
      </c>
    </row>
    <row r="73" spans="1:4">
      <c r="A73" s="108"/>
      <c r="B73" s="505" t="s">
        <v>1300</v>
      </c>
      <c r="C73" s="190">
        <v>4772573</v>
      </c>
      <c r="D73" s="190">
        <f>4149010</f>
        <v>4149010</v>
      </c>
    </row>
    <row r="74" spans="1:4">
      <c r="A74" s="108"/>
      <c r="B74" s="505" t="s">
        <v>1301</v>
      </c>
      <c r="C74" s="190">
        <f>11917204+1117729</f>
        <v>13034933</v>
      </c>
      <c r="D74" s="190">
        <f>10496586+938027</f>
        <v>11434613</v>
      </c>
    </row>
    <row r="75" spans="1:4">
      <c r="A75" s="108"/>
      <c r="B75" s="505" t="s">
        <v>1302</v>
      </c>
      <c r="C75" s="190">
        <v>11328</v>
      </c>
      <c r="D75" s="190">
        <v>23721</v>
      </c>
    </row>
    <row r="76" spans="1:4">
      <c r="A76" s="108"/>
      <c r="B76" s="505" t="s">
        <v>1303</v>
      </c>
      <c r="C76" s="437" t="s">
        <v>242</v>
      </c>
      <c r="D76" s="186" t="s">
        <v>242</v>
      </c>
    </row>
    <row r="77" spans="1:4">
      <c r="A77" s="108"/>
      <c r="B77" s="505" t="s">
        <v>1304</v>
      </c>
      <c r="C77" s="190">
        <v>570678</v>
      </c>
      <c r="D77" s="190">
        <v>462900</v>
      </c>
    </row>
    <row r="78" spans="1:4">
      <c r="A78" s="108"/>
      <c r="B78" s="108" t="s">
        <v>1305</v>
      </c>
      <c r="C78" s="437" t="s">
        <v>242</v>
      </c>
      <c r="D78" s="189"/>
    </row>
    <row r="79" spans="1:4">
      <c r="A79" s="108"/>
      <c r="B79" s="505" t="s">
        <v>374</v>
      </c>
      <c r="C79" s="190">
        <f>1681118+148380</f>
        <v>1829498</v>
      </c>
      <c r="D79" s="190">
        <v>1355138</v>
      </c>
    </row>
    <row r="80" spans="1:4">
      <c r="A80" s="108"/>
      <c r="B80" s="505" t="s">
        <v>375</v>
      </c>
      <c r="C80" s="437" t="s">
        <v>242</v>
      </c>
      <c r="D80" s="186" t="s">
        <v>242</v>
      </c>
    </row>
    <row r="81" spans="1:6">
      <c r="A81" s="108"/>
      <c r="B81" s="313" t="s">
        <v>376</v>
      </c>
      <c r="C81" s="58">
        <v>80392</v>
      </c>
      <c r="D81" s="190">
        <v>14100</v>
      </c>
      <c r="E81" s="65"/>
    </row>
    <row r="82" spans="1:6" ht="16.2" thickBot="1">
      <c r="A82" s="262"/>
      <c r="B82" s="314" t="s">
        <v>377</v>
      </c>
      <c r="C82" s="61">
        <v>693571</v>
      </c>
      <c r="D82" s="439">
        <f>735215+9345</f>
        <v>744560</v>
      </c>
    </row>
    <row r="83" spans="1:6">
      <c r="A83" s="631" t="s">
        <v>1407</v>
      </c>
      <c r="B83" s="631"/>
      <c r="C83" s="631"/>
      <c r="D83" s="631"/>
    </row>
    <row r="84" spans="1:6" ht="16.2" thickBot="1">
      <c r="A84" s="621" t="s">
        <v>1406</v>
      </c>
      <c r="B84" s="621"/>
      <c r="C84" s="621"/>
      <c r="D84" s="621"/>
    </row>
    <row r="85" spans="1:6">
      <c r="A85" s="203"/>
      <c r="B85" s="344" t="s">
        <v>378</v>
      </c>
      <c r="C85" s="58">
        <f>289108+8410</f>
        <v>297518</v>
      </c>
      <c r="D85" s="352">
        <f>516682</f>
        <v>516682</v>
      </c>
    </row>
    <row r="86" spans="1:6">
      <c r="A86" s="108"/>
      <c r="B86" s="313" t="s">
        <v>401</v>
      </c>
      <c r="C86" s="58">
        <f>312940+84774</f>
        <v>397714</v>
      </c>
      <c r="D86" s="190">
        <v>347571</v>
      </c>
    </row>
    <row r="87" spans="1:6">
      <c r="A87" s="108"/>
      <c r="B87" s="505" t="s">
        <v>379</v>
      </c>
      <c r="C87" s="437" t="s">
        <v>242</v>
      </c>
      <c r="D87" s="190">
        <v>120110</v>
      </c>
    </row>
    <row r="88" spans="1:6">
      <c r="A88" s="108"/>
      <c r="B88" s="505" t="s">
        <v>380</v>
      </c>
      <c r="C88" s="437" t="s">
        <v>242</v>
      </c>
      <c r="D88" s="186" t="s">
        <v>242</v>
      </c>
    </row>
    <row r="89" spans="1:6">
      <c r="A89" s="108"/>
      <c r="B89" s="505" t="s">
        <v>402</v>
      </c>
      <c r="C89" s="190">
        <v>13659003</v>
      </c>
      <c r="D89" s="190">
        <v>1811302</v>
      </c>
    </row>
    <row r="90" spans="1:6">
      <c r="A90" s="108"/>
      <c r="B90" s="108" t="s">
        <v>371</v>
      </c>
      <c r="C90" s="190">
        <f>5298065+2490076+7003156</f>
        <v>14791297</v>
      </c>
      <c r="D90" s="441">
        <f>2502039+5439787</f>
        <v>7941826</v>
      </c>
    </row>
    <row r="91" spans="1:6">
      <c r="A91" s="108"/>
      <c r="B91" s="108" t="s">
        <v>1306</v>
      </c>
      <c r="C91" s="190">
        <f>14902396+1202979</f>
        <v>16105375</v>
      </c>
      <c r="D91" s="190">
        <f>16203229</f>
        <v>16203229</v>
      </c>
      <c r="E91" s="65">
        <f>1237852+14902396</f>
        <v>16140248</v>
      </c>
      <c r="F91" s="65">
        <f>C91-E91</f>
        <v>-34873</v>
      </c>
    </row>
    <row r="92" spans="1:6">
      <c r="A92" s="108"/>
      <c r="B92" s="108" t="s">
        <v>1307</v>
      </c>
      <c r="C92" s="437" t="s">
        <v>242</v>
      </c>
      <c r="D92" s="441">
        <v>507810</v>
      </c>
    </row>
    <row r="93" spans="1:6">
      <c r="A93" s="108"/>
      <c r="B93" s="108" t="s">
        <v>1308</v>
      </c>
      <c r="C93" s="190">
        <f>3536053+90000+60000</f>
        <v>3686053</v>
      </c>
      <c r="D93" s="190">
        <f>2885925+89554</f>
        <v>2975479</v>
      </c>
      <c r="F93" s="65"/>
    </row>
    <row r="94" spans="1:6">
      <c r="A94" s="108"/>
      <c r="B94" s="108" t="s">
        <v>1309</v>
      </c>
      <c r="C94" s="190">
        <v>495743</v>
      </c>
      <c r="D94" s="190">
        <v>212572</v>
      </c>
    </row>
    <row r="95" spans="1:6">
      <c r="A95" s="108"/>
      <c r="B95" s="278" t="s">
        <v>1310</v>
      </c>
      <c r="C95" s="58">
        <v>79323</v>
      </c>
      <c r="D95" s="190">
        <v>158600</v>
      </c>
    </row>
    <row r="96" spans="1:6">
      <c r="A96" s="108"/>
      <c r="B96" s="278" t="s">
        <v>1311</v>
      </c>
      <c r="C96" s="58">
        <f>1815000+165000</f>
        <v>1980000</v>
      </c>
      <c r="D96" s="190">
        <f>1650000+150000</f>
        <v>1800000</v>
      </c>
    </row>
    <row r="97" spans="1:6">
      <c r="A97" s="108"/>
      <c r="B97" s="278"/>
      <c r="C97" s="108"/>
      <c r="D97" s="190"/>
    </row>
    <row r="98" spans="1:6">
      <c r="A98" s="108"/>
      <c r="B98" s="278" t="s">
        <v>1312</v>
      </c>
      <c r="C98" s="108"/>
      <c r="D98" s="190"/>
    </row>
    <row r="99" spans="1:6">
      <c r="A99" s="108"/>
      <c r="B99" s="108" t="s">
        <v>1101</v>
      </c>
      <c r="C99" s="437" t="s">
        <v>242</v>
      </c>
      <c r="D99" s="186" t="s">
        <v>242</v>
      </c>
    </row>
    <row r="100" spans="1:6">
      <c r="A100" s="108"/>
      <c r="B100" s="108" t="s">
        <v>1102</v>
      </c>
      <c r="C100" s="437" t="s">
        <v>242</v>
      </c>
      <c r="D100" s="186" t="s">
        <v>242</v>
      </c>
    </row>
    <row r="101" spans="1:6">
      <c r="A101" s="108"/>
      <c r="B101" s="108" t="s">
        <v>1103</v>
      </c>
      <c r="C101" s="190">
        <v>79344</v>
      </c>
      <c r="D101" s="190">
        <v>30569</v>
      </c>
    </row>
    <row r="102" spans="1:6">
      <c r="A102" s="108"/>
      <c r="B102" s="108" t="s">
        <v>1104</v>
      </c>
      <c r="C102" s="437" t="s">
        <v>242</v>
      </c>
      <c r="D102" s="190">
        <v>250</v>
      </c>
      <c r="E102" s="227"/>
      <c r="F102" s="65"/>
    </row>
    <row r="103" spans="1:6" ht="16.2" thickBot="1">
      <c r="A103" s="109"/>
      <c r="B103" s="262"/>
      <c r="C103" s="447"/>
      <c r="D103" s="439"/>
    </row>
    <row r="104" spans="1:6" ht="16.2" thickBot="1">
      <c r="A104" s="280"/>
      <c r="B104" s="346" t="s">
        <v>422</v>
      </c>
      <c r="C104" s="64">
        <f>SUM(C7:C38,C57:C103)</f>
        <v>306050716</v>
      </c>
      <c r="D104" s="64">
        <f>SUM(D7:D38,D57:D103)</f>
        <v>242109736</v>
      </c>
    </row>
    <row r="105" spans="1:6">
      <c r="A105" s="57"/>
      <c r="B105" s="57"/>
      <c r="C105" s="38"/>
    </row>
    <row r="106" spans="1:6">
      <c r="A106" s="638"/>
      <c r="B106" s="648"/>
      <c r="C106" s="648"/>
      <c r="D106" s="648"/>
    </row>
    <row r="107" spans="1:6">
      <c r="C107" s="38"/>
      <c r="D107" s="38"/>
    </row>
    <row r="108" spans="1:6">
      <c r="C108" s="38"/>
    </row>
    <row r="109" spans="1:6">
      <c r="C109" s="38"/>
    </row>
    <row r="110" spans="1:6">
      <c r="C110" s="38"/>
    </row>
    <row r="111" spans="1:6">
      <c r="C111" s="38"/>
      <c r="D111" s="38"/>
    </row>
    <row r="116" spans="1:4">
      <c r="A116" s="621" t="s">
        <v>1408</v>
      </c>
      <c r="B116" s="621"/>
      <c r="C116" s="621"/>
      <c r="D116" s="621"/>
    </row>
  </sheetData>
  <mergeCells count="14">
    <mergeCell ref="A116:D116"/>
    <mergeCell ref="A83:D83"/>
    <mergeCell ref="A84:D84"/>
    <mergeCell ref="A106:D106"/>
    <mergeCell ref="A1:D1"/>
    <mergeCell ref="A3:D3"/>
    <mergeCell ref="A6:B6"/>
    <mergeCell ref="A56:B56"/>
    <mergeCell ref="A50:D50"/>
    <mergeCell ref="A51:D51"/>
    <mergeCell ref="A53:D53"/>
    <mergeCell ref="A30:D30"/>
    <mergeCell ref="A27:D27"/>
    <mergeCell ref="A39:D39"/>
  </mergeCells>
  <phoneticPr fontId="0" type="noConversion"/>
  <printOptions horizontalCentered="1"/>
  <pageMargins left="0.78740157480314965" right="0.51181102362204722" top="0.39370078740157483" bottom="0.23622047244094491" header="0.15748031496062992" footer="0"/>
  <pageSetup paperSize="9" scale="99" fitToHeight="4" orientation="landscape" horizontalDpi="300" verticalDpi="300" r:id="rId1"/>
  <headerFooter alignWithMargins="0"/>
  <rowBreaks count="3" manualBreakCount="3">
    <brk id="30" max="3" man="1"/>
    <brk id="50" max="3" man="1"/>
    <brk id="84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5"/>
  <dimension ref="A1:C29"/>
  <sheetViews>
    <sheetView view="pageBreakPreview" topLeftCell="A14" zoomScale="90" zoomScaleSheetLayoutView="90" workbookViewId="0">
      <selection activeCell="A39" sqref="A39"/>
    </sheetView>
  </sheetViews>
  <sheetFormatPr defaultColWidth="9.109375" defaultRowHeight="15.6"/>
  <cols>
    <col min="1" max="1" width="91.33203125" style="69" customWidth="1"/>
    <col min="2" max="3" width="15.88671875" style="100" customWidth="1"/>
    <col min="4" max="16384" width="9.109375" style="69"/>
  </cols>
  <sheetData>
    <row r="1" spans="1:3">
      <c r="A1" s="597" t="s">
        <v>261</v>
      </c>
      <c r="B1" s="597"/>
      <c r="C1" s="597"/>
    </row>
    <row r="2" spans="1:3">
      <c r="A2" s="68"/>
      <c r="B2" s="99"/>
      <c r="C2" s="99"/>
    </row>
    <row r="3" spans="1:3">
      <c r="A3" s="594" t="s">
        <v>1416</v>
      </c>
      <c r="B3" s="594"/>
      <c r="C3" s="594"/>
    </row>
    <row r="5" spans="1:3">
      <c r="B5" s="677" t="s">
        <v>1393</v>
      </c>
      <c r="C5" s="677"/>
    </row>
    <row r="6" spans="1:3" ht="16.2" thickBot="1"/>
    <row r="7" spans="1:3" ht="16.2" thickBot="1">
      <c r="A7" s="96" t="s">
        <v>229</v>
      </c>
      <c r="B7" s="79" t="s">
        <v>420</v>
      </c>
      <c r="C7" s="79" t="s">
        <v>421</v>
      </c>
    </row>
    <row r="8" spans="1:3">
      <c r="A8" s="91"/>
      <c r="B8" s="101" t="s">
        <v>242</v>
      </c>
      <c r="C8" s="101" t="s">
        <v>242</v>
      </c>
    </row>
    <row r="9" spans="1:3">
      <c r="A9" s="93" t="s">
        <v>230</v>
      </c>
      <c r="B9" s="102" t="s">
        <v>242</v>
      </c>
      <c r="C9" s="102" t="s">
        <v>242</v>
      </c>
    </row>
    <row r="10" spans="1:3">
      <c r="A10" s="93" t="s">
        <v>231</v>
      </c>
      <c r="B10" s="102" t="s">
        <v>242</v>
      </c>
      <c r="C10" s="102" t="s">
        <v>242</v>
      </c>
    </row>
    <row r="11" spans="1:3" ht="16.2" thickBot="1">
      <c r="A11" s="95"/>
      <c r="B11" s="103" t="s">
        <v>242</v>
      </c>
      <c r="C11" s="103" t="s">
        <v>242</v>
      </c>
    </row>
    <row r="12" spans="1:3" ht="16.2" thickBot="1">
      <c r="A12" s="96" t="s">
        <v>422</v>
      </c>
      <c r="B12" s="104" t="s">
        <v>242</v>
      </c>
      <c r="C12" s="104" t="s">
        <v>242</v>
      </c>
    </row>
    <row r="13" spans="1:3">
      <c r="A13" s="71"/>
      <c r="B13" s="87"/>
      <c r="C13" s="87"/>
    </row>
    <row r="14" spans="1:3">
      <c r="A14" s="97" t="s">
        <v>232</v>
      </c>
      <c r="B14" s="87"/>
      <c r="C14" s="87"/>
    </row>
    <row r="15" spans="1:3">
      <c r="A15" s="71"/>
      <c r="B15" s="87"/>
      <c r="C15" s="87"/>
    </row>
    <row r="16" spans="1:3">
      <c r="A16" s="71"/>
      <c r="B16" s="87"/>
      <c r="C16" s="87"/>
    </row>
    <row r="17" spans="1:3" ht="16.2" thickBot="1">
      <c r="A17" s="71"/>
      <c r="B17" s="677" t="s">
        <v>1393</v>
      </c>
      <c r="C17" s="677"/>
    </row>
    <row r="18" spans="1:3" ht="16.2" thickBot="1">
      <c r="A18" s="96" t="s">
        <v>233</v>
      </c>
      <c r="B18" s="79" t="s">
        <v>420</v>
      </c>
      <c r="C18" s="79" t="s">
        <v>421</v>
      </c>
    </row>
    <row r="19" spans="1:3">
      <c r="A19" s="91"/>
      <c r="B19" s="101" t="s">
        <v>242</v>
      </c>
      <c r="C19" s="101" t="s">
        <v>242</v>
      </c>
    </row>
    <row r="20" spans="1:3">
      <c r="A20" s="93" t="s">
        <v>234</v>
      </c>
      <c r="B20" s="102" t="s">
        <v>242</v>
      </c>
      <c r="C20" s="102" t="s">
        <v>242</v>
      </c>
    </row>
    <row r="21" spans="1:3">
      <c r="A21" s="93" t="s">
        <v>235</v>
      </c>
      <c r="B21" s="102" t="s">
        <v>242</v>
      </c>
      <c r="C21" s="102" t="s">
        <v>242</v>
      </c>
    </row>
    <row r="22" spans="1:3">
      <c r="A22" s="93" t="s">
        <v>236</v>
      </c>
      <c r="B22" s="102" t="s">
        <v>242</v>
      </c>
      <c r="C22" s="102" t="s">
        <v>242</v>
      </c>
    </row>
    <row r="23" spans="1:3" ht="16.2" thickBot="1">
      <c r="A23" s="105"/>
      <c r="B23" s="106" t="s">
        <v>242</v>
      </c>
      <c r="C23" s="106" t="s">
        <v>242</v>
      </c>
    </row>
    <row r="24" spans="1:3" ht="16.2" thickBot="1">
      <c r="A24" s="96" t="s">
        <v>422</v>
      </c>
      <c r="B24" s="104" t="s">
        <v>242</v>
      </c>
      <c r="C24" s="104" t="s">
        <v>242</v>
      </c>
    </row>
    <row r="26" spans="1:3">
      <c r="A26" s="279"/>
      <c r="B26" s="279"/>
      <c r="C26" s="279"/>
    </row>
    <row r="29" spans="1:3">
      <c r="A29" s="583" t="s">
        <v>1409</v>
      </c>
      <c r="B29" s="583"/>
      <c r="C29" s="583"/>
    </row>
  </sheetData>
  <mergeCells count="5">
    <mergeCell ref="A29:C29"/>
    <mergeCell ref="A1:C1"/>
    <mergeCell ref="A3:C3"/>
    <mergeCell ref="B5:C5"/>
    <mergeCell ref="B17:C17"/>
  </mergeCells>
  <phoneticPr fontId="0" type="noConversion"/>
  <printOptions horizontalCentered="1"/>
  <pageMargins left="1" right="0.5" top="1" bottom="1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2:G153"/>
  <sheetViews>
    <sheetView topLeftCell="A56" workbookViewId="0">
      <selection activeCell="C56" sqref="C56"/>
    </sheetView>
  </sheetViews>
  <sheetFormatPr defaultColWidth="9.109375" defaultRowHeight="15.6"/>
  <cols>
    <col min="1" max="1" width="48.44140625" style="69" bestFit="1" customWidth="1"/>
    <col min="2" max="2" width="13.6640625" style="75" bestFit="1" customWidth="1"/>
    <col min="3" max="3" width="12.6640625" style="75" bestFit="1" customWidth="1"/>
    <col min="4" max="4" width="12.5546875" style="75" customWidth="1"/>
    <col min="5" max="5" width="15.109375" style="69" customWidth="1"/>
    <col min="6" max="6" width="10.5546875" style="69" bestFit="1" customWidth="1"/>
    <col min="7" max="7" width="14.33203125" style="69" bestFit="1" customWidth="1"/>
    <col min="8" max="16384" width="9.109375" style="69"/>
  </cols>
  <sheetData>
    <row r="2" spans="1:5">
      <c r="A2" s="171" t="s">
        <v>996</v>
      </c>
    </row>
    <row r="4" spans="1:5" ht="16.2" thickBot="1"/>
    <row r="5" spans="1:5" ht="16.2" thickBot="1">
      <c r="A5" s="295" t="s">
        <v>572</v>
      </c>
      <c r="B5" s="296" t="s">
        <v>573</v>
      </c>
      <c r="C5" s="296" t="s">
        <v>574</v>
      </c>
      <c r="D5" s="297" t="s">
        <v>575</v>
      </c>
    </row>
    <row r="6" spans="1:5">
      <c r="A6" s="217" t="s">
        <v>576</v>
      </c>
      <c r="B6" s="218">
        <v>1610467.69</v>
      </c>
      <c r="C6" s="218">
        <f>B6*10/100</f>
        <v>161046.76899999997</v>
      </c>
      <c r="D6" s="218">
        <f>B6-C6</f>
        <v>1449420.9210000001</v>
      </c>
    </row>
    <row r="7" spans="1:5">
      <c r="A7" s="298" t="s">
        <v>577</v>
      </c>
      <c r="B7" s="299">
        <v>174089.7</v>
      </c>
      <c r="C7" s="218">
        <f t="shared" ref="C7:C70" si="0">B7*10/100</f>
        <v>17408.97</v>
      </c>
      <c r="D7" s="299">
        <f>B7-C7</f>
        <v>156680.73000000001</v>
      </c>
    </row>
    <row r="8" spans="1:5">
      <c r="A8" s="298" t="s">
        <v>578</v>
      </c>
      <c r="B8" s="299">
        <v>152827.79999999999</v>
      </c>
      <c r="C8" s="218">
        <f t="shared" si="0"/>
        <v>15282.78</v>
      </c>
      <c r="D8" s="299">
        <f t="shared" ref="D8:D71" si="1">B8-C8</f>
        <v>137545.01999999999</v>
      </c>
    </row>
    <row r="9" spans="1:5">
      <c r="A9" s="298" t="s">
        <v>579</v>
      </c>
      <c r="B9" s="299">
        <v>60009.84</v>
      </c>
      <c r="C9" s="218">
        <f t="shared" si="0"/>
        <v>6000.9839999999995</v>
      </c>
      <c r="D9" s="299">
        <f t="shared" si="1"/>
        <v>54008.856</v>
      </c>
    </row>
    <row r="10" spans="1:5">
      <c r="A10" s="298" t="s">
        <v>580</v>
      </c>
      <c r="B10" s="299">
        <v>125681.04</v>
      </c>
      <c r="C10" s="218">
        <f t="shared" si="0"/>
        <v>12568.103999999999</v>
      </c>
      <c r="D10" s="299">
        <f t="shared" si="1"/>
        <v>113112.93599999999</v>
      </c>
    </row>
    <row r="11" spans="1:5">
      <c r="A11" s="298" t="s">
        <v>581</v>
      </c>
      <c r="B11" s="299">
        <v>523781.23</v>
      </c>
      <c r="C11" s="218">
        <f t="shared" si="0"/>
        <v>52378.123</v>
      </c>
      <c r="D11" s="299">
        <f t="shared" si="1"/>
        <v>471403.10699999996</v>
      </c>
      <c r="E11" s="75"/>
    </row>
    <row r="12" spans="1:5">
      <c r="A12" s="298" t="s">
        <v>582</v>
      </c>
      <c r="B12" s="299">
        <v>346360.86</v>
      </c>
      <c r="C12" s="218">
        <f t="shared" si="0"/>
        <v>34636.085999999996</v>
      </c>
      <c r="D12" s="299">
        <f t="shared" si="1"/>
        <v>311724.77399999998</v>
      </c>
    </row>
    <row r="13" spans="1:5">
      <c r="A13" s="298" t="s">
        <v>583</v>
      </c>
      <c r="B13" s="299">
        <v>192793.68</v>
      </c>
      <c r="C13" s="218">
        <f t="shared" si="0"/>
        <v>19279.367999999999</v>
      </c>
      <c r="D13" s="299">
        <f t="shared" si="1"/>
        <v>173514.31200000001</v>
      </c>
    </row>
    <row r="14" spans="1:5">
      <c r="A14" s="298" t="s">
        <v>584</v>
      </c>
      <c r="B14" s="299">
        <v>678302.77</v>
      </c>
      <c r="C14" s="218">
        <f t="shared" si="0"/>
        <v>67830.277000000002</v>
      </c>
      <c r="D14" s="299">
        <f t="shared" si="1"/>
        <v>610472.49300000002</v>
      </c>
    </row>
    <row r="15" spans="1:5">
      <c r="A15" s="298" t="s">
        <v>585</v>
      </c>
      <c r="B15" s="299">
        <v>320837.31</v>
      </c>
      <c r="C15" s="218">
        <f t="shared" si="0"/>
        <v>32083.731</v>
      </c>
      <c r="D15" s="299">
        <f t="shared" si="1"/>
        <v>288753.57900000003</v>
      </c>
    </row>
    <row r="16" spans="1:5">
      <c r="A16" s="298" t="s">
        <v>586</v>
      </c>
      <c r="B16" s="299">
        <v>359544.6</v>
      </c>
      <c r="C16" s="218">
        <f t="shared" si="0"/>
        <v>35954.46</v>
      </c>
      <c r="D16" s="299">
        <f t="shared" si="1"/>
        <v>323590.13999999996</v>
      </c>
    </row>
    <row r="17" spans="1:4">
      <c r="A17" s="298" t="s">
        <v>587</v>
      </c>
      <c r="B17" s="299">
        <v>226481.26</v>
      </c>
      <c r="C17" s="218">
        <f t="shared" si="0"/>
        <v>22648.126</v>
      </c>
      <c r="D17" s="299">
        <f t="shared" si="1"/>
        <v>203833.13400000002</v>
      </c>
    </row>
    <row r="18" spans="1:4">
      <c r="A18" s="298" t="s">
        <v>588</v>
      </c>
      <c r="B18" s="299">
        <v>385249.45</v>
      </c>
      <c r="C18" s="218">
        <f t="shared" si="0"/>
        <v>38524.945</v>
      </c>
      <c r="D18" s="299">
        <f t="shared" si="1"/>
        <v>346724.505</v>
      </c>
    </row>
    <row r="19" spans="1:4">
      <c r="A19" s="298" t="s">
        <v>589</v>
      </c>
      <c r="B19" s="299">
        <v>705442.68</v>
      </c>
      <c r="C19" s="218">
        <f t="shared" si="0"/>
        <v>70544.268000000011</v>
      </c>
      <c r="D19" s="299">
        <f t="shared" si="1"/>
        <v>634898.41200000001</v>
      </c>
    </row>
    <row r="20" spans="1:4">
      <c r="A20" s="298" t="s">
        <v>590</v>
      </c>
      <c r="B20" s="299">
        <v>808266.95</v>
      </c>
      <c r="C20" s="218">
        <f t="shared" si="0"/>
        <v>80826.695000000007</v>
      </c>
      <c r="D20" s="299">
        <f t="shared" si="1"/>
        <v>727440.25499999989</v>
      </c>
    </row>
    <row r="21" spans="1:4">
      <c r="A21" s="298" t="s">
        <v>591</v>
      </c>
      <c r="B21" s="299">
        <v>29550.06</v>
      </c>
      <c r="C21" s="218">
        <f t="shared" si="0"/>
        <v>2955.0060000000003</v>
      </c>
      <c r="D21" s="299">
        <f t="shared" si="1"/>
        <v>26595.054</v>
      </c>
    </row>
    <row r="22" spans="1:4">
      <c r="A22" s="298" t="s">
        <v>592</v>
      </c>
      <c r="B22" s="299">
        <v>407059.83</v>
      </c>
      <c r="C22" s="218">
        <f t="shared" si="0"/>
        <v>40705.983</v>
      </c>
      <c r="D22" s="299">
        <f t="shared" si="1"/>
        <v>366353.84700000001</v>
      </c>
    </row>
    <row r="23" spans="1:4">
      <c r="A23" s="298" t="s">
        <v>593</v>
      </c>
      <c r="B23" s="299">
        <v>29752.78</v>
      </c>
      <c r="C23" s="218">
        <f t="shared" si="0"/>
        <v>2975.2779999999998</v>
      </c>
      <c r="D23" s="299">
        <f t="shared" si="1"/>
        <v>26777.502</v>
      </c>
    </row>
    <row r="24" spans="1:4">
      <c r="A24" s="298" t="s">
        <v>594</v>
      </c>
      <c r="B24" s="299">
        <v>212967.18</v>
      </c>
      <c r="C24" s="218">
        <f t="shared" si="0"/>
        <v>21296.717999999997</v>
      </c>
      <c r="D24" s="299">
        <f t="shared" si="1"/>
        <v>191670.462</v>
      </c>
    </row>
    <row r="25" spans="1:4">
      <c r="A25" s="298" t="s">
        <v>595</v>
      </c>
      <c r="B25" s="299">
        <v>190859.08</v>
      </c>
      <c r="C25" s="218">
        <f t="shared" si="0"/>
        <v>19085.907999999999</v>
      </c>
      <c r="D25" s="299">
        <f t="shared" si="1"/>
        <v>171773.17199999999</v>
      </c>
    </row>
    <row r="26" spans="1:4">
      <c r="A26" s="298" t="s">
        <v>596</v>
      </c>
      <c r="B26" s="299">
        <v>82124.95</v>
      </c>
      <c r="C26" s="218">
        <f t="shared" si="0"/>
        <v>8212.4950000000008</v>
      </c>
      <c r="D26" s="299">
        <f t="shared" si="1"/>
        <v>73912.455000000002</v>
      </c>
    </row>
    <row r="27" spans="1:4">
      <c r="A27" s="298" t="s">
        <v>597</v>
      </c>
      <c r="B27" s="299">
        <v>256748.31</v>
      </c>
      <c r="C27" s="218">
        <f t="shared" si="0"/>
        <v>25674.831000000002</v>
      </c>
      <c r="D27" s="299">
        <f t="shared" si="1"/>
        <v>231073.47899999999</v>
      </c>
    </row>
    <row r="28" spans="1:4">
      <c r="A28" s="298" t="s">
        <v>598</v>
      </c>
      <c r="B28" s="299">
        <v>42570</v>
      </c>
      <c r="C28" s="218">
        <f t="shared" si="0"/>
        <v>4257</v>
      </c>
      <c r="D28" s="299">
        <f t="shared" si="1"/>
        <v>38313</v>
      </c>
    </row>
    <row r="29" spans="1:4">
      <c r="A29" s="298" t="s">
        <v>599</v>
      </c>
      <c r="B29" s="299">
        <v>153910.03</v>
      </c>
      <c r="C29" s="218">
        <f t="shared" si="0"/>
        <v>15391.003000000001</v>
      </c>
      <c r="D29" s="299">
        <f t="shared" si="1"/>
        <v>138519.027</v>
      </c>
    </row>
    <row r="30" spans="1:4">
      <c r="A30" s="298" t="s">
        <v>600</v>
      </c>
      <c r="B30" s="299">
        <v>178722.45</v>
      </c>
      <c r="C30" s="218">
        <f t="shared" si="0"/>
        <v>17872.244999999999</v>
      </c>
      <c r="D30" s="299">
        <f t="shared" si="1"/>
        <v>160850.20500000002</v>
      </c>
    </row>
    <row r="31" spans="1:4">
      <c r="A31" s="298" t="s">
        <v>601</v>
      </c>
      <c r="B31" s="299">
        <v>169104.55</v>
      </c>
      <c r="C31" s="218">
        <f t="shared" si="0"/>
        <v>16910.455000000002</v>
      </c>
      <c r="D31" s="299">
        <f t="shared" si="1"/>
        <v>152194.09499999997</v>
      </c>
    </row>
    <row r="32" spans="1:4">
      <c r="A32" s="298" t="s">
        <v>602</v>
      </c>
      <c r="B32" s="299">
        <v>192562.83</v>
      </c>
      <c r="C32" s="218">
        <f t="shared" si="0"/>
        <v>19256.282999999999</v>
      </c>
      <c r="D32" s="299">
        <f t="shared" si="1"/>
        <v>173306.54699999999</v>
      </c>
    </row>
    <row r="33" spans="1:4">
      <c r="A33" s="298" t="s">
        <v>603</v>
      </c>
      <c r="B33" s="299">
        <v>35187.75</v>
      </c>
      <c r="C33" s="218">
        <f t="shared" si="0"/>
        <v>3518.7750000000001</v>
      </c>
      <c r="D33" s="299">
        <f t="shared" si="1"/>
        <v>31668.974999999999</v>
      </c>
    </row>
    <row r="34" spans="1:4">
      <c r="A34" s="298" t="s">
        <v>604</v>
      </c>
      <c r="B34" s="299">
        <v>36883.71</v>
      </c>
      <c r="C34" s="218">
        <f t="shared" si="0"/>
        <v>3688.3709999999996</v>
      </c>
      <c r="D34" s="299">
        <f t="shared" si="1"/>
        <v>33195.339</v>
      </c>
    </row>
    <row r="35" spans="1:4">
      <c r="A35" s="298" t="s">
        <v>605</v>
      </c>
      <c r="B35" s="299">
        <v>248357.83</v>
      </c>
      <c r="C35" s="218">
        <f t="shared" si="0"/>
        <v>24835.782999999999</v>
      </c>
      <c r="D35" s="299">
        <f t="shared" si="1"/>
        <v>223522.04699999999</v>
      </c>
    </row>
    <row r="36" spans="1:4">
      <c r="A36" s="298" t="s">
        <v>606</v>
      </c>
      <c r="B36" s="299">
        <v>248660.1</v>
      </c>
      <c r="C36" s="218">
        <f t="shared" si="0"/>
        <v>24866.01</v>
      </c>
      <c r="D36" s="299">
        <f t="shared" si="1"/>
        <v>223794.09</v>
      </c>
    </row>
    <row r="37" spans="1:4">
      <c r="A37" s="298" t="s">
        <v>607</v>
      </c>
      <c r="B37" s="299">
        <v>149741.1</v>
      </c>
      <c r="C37" s="218">
        <f t="shared" si="0"/>
        <v>14974.11</v>
      </c>
      <c r="D37" s="299">
        <f t="shared" si="1"/>
        <v>134766.99</v>
      </c>
    </row>
    <row r="38" spans="1:4">
      <c r="A38" s="298" t="s">
        <v>608</v>
      </c>
      <c r="B38" s="299">
        <v>48182.87</v>
      </c>
      <c r="C38" s="218">
        <f t="shared" si="0"/>
        <v>4818.2870000000003</v>
      </c>
      <c r="D38" s="299">
        <f t="shared" si="1"/>
        <v>43364.582999999999</v>
      </c>
    </row>
    <row r="39" spans="1:4">
      <c r="A39" s="298" t="s">
        <v>609</v>
      </c>
      <c r="B39" s="299">
        <v>170403.21</v>
      </c>
      <c r="C39" s="218">
        <f t="shared" si="0"/>
        <v>17040.321</v>
      </c>
      <c r="D39" s="299">
        <f t="shared" si="1"/>
        <v>153362.889</v>
      </c>
    </row>
    <row r="40" spans="1:4">
      <c r="A40" s="298" t="s">
        <v>610</v>
      </c>
      <c r="B40" s="299">
        <v>692505.63</v>
      </c>
      <c r="C40" s="218">
        <f t="shared" si="0"/>
        <v>69250.562999999995</v>
      </c>
      <c r="D40" s="299">
        <f t="shared" si="1"/>
        <v>623255.06700000004</v>
      </c>
    </row>
    <row r="41" spans="1:4">
      <c r="A41" s="298" t="s">
        <v>611</v>
      </c>
      <c r="B41" s="299">
        <v>61002.54</v>
      </c>
      <c r="C41" s="218">
        <f t="shared" si="0"/>
        <v>6100.2539999999999</v>
      </c>
      <c r="D41" s="299">
        <f t="shared" si="1"/>
        <v>54902.286</v>
      </c>
    </row>
    <row r="42" spans="1:4">
      <c r="A42" s="298" t="s">
        <v>612</v>
      </c>
      <c r="B42" s="299">
        <v>141940.71</v>
      </c>
      <c r="C42" s="218">
        <f t="shared" si="0"/>
        <v>14194.070999999998</v>
      </c>
      <c r="D42" s="299">
        <f t="shared" si="1"/>
        <v>127746.639</v>
      </c>
    </row>
    <row r="43" spans="1:4">
      <c r="A43" s="298" t="s">
        <v>613</v>
      </c>
      <c r="B43" s="299">
        <v>34562.519999999997</v>
      </c>
      <c r="C43" s="218">
        <f t="shared" si="0"/>
        <v>3456.2519999999995</v>
      </c>
      <c r="D43" s="299">
        <f t="shared" si="1"/>
        <v>31106.267999999996</v>
      </c>
    </row>
    <row r="44" spans="1:4">
      <c r="A44" s="298" t="s">
        <v>614</v>
      </c>
      <c r="B44" s="299">
        <v>408862.91</v>
      </c>
      <c r="C44" s="218">
        <f t="shared" si="0"/>
        <v>40886.290999999997</v>
      </c>
      <c r="D44" s="299">
        <f t="shared" si="1"/>
        <v>367976.61899999995</v>
      </c>
    </row>
    <row r="45" spans="1:4">
      <c r="A45" s="298" t="s">
        <v>615</v>
      </c>
      <c r="B45" s="299">
        <v>266092.33</v>
      </c>
      <c r="C45" s="218">
        <f t="shared" si="0"/>
        <v>26609.233000000004</v>
      </c>
      <c r="D45" s="299">
        <f t="shared" si="1"/>
        <v>239483.09700000001</v>
      </c>
    </row>
    <row r="46" spans="1:4">
      <c r="A46" s="298" t="s">
        <v>616</v>
      </c>
      <c r="B46" s="299">
        <v>161279.72</v>
      </c>
      <c r="C46" s="218">
        <f t="shared" si="0"/>
        <v>16127.972</v>
      </c>
      <c r="D46" s="299">
        <f t="shared" si="1"/>
        <v>145151.74799999999</v>
      </c>
    </row>
    <row r="47" spans="1:4">
      <c r="A47" s="298" t="s">
        <v>617</v>
      </c>
      <c r="B47" s="299">
        <v>64232.73</v>
      </c>
      <c r="C47" s="218">
        <f t="shared" si="0"/>
        <v>6423.2730000000001</v>
      </c>
      <c r="D47" s="299">
        <f t="shared" si="1"/>
        <v>57809.457000000002</v>
      </c>
    </row>
    <row r="48" spans="1:4">
      <c r="A48" s="298" t="s">
        <v>618</v>
      </c>
      <c r="B48" s="299">
        <v>46988.82</v>
      </c>
      <c r="C48" s="218">
        <f t="shared" si="0"/>
        <v>4698.8820000000005</v>
      </c>
      <c r="D48" s="299">
        <f t="shared" si="1"/>
        <v>42289.938000000002</v>
      </c>
    </row>
    <row r="49" spans="1:5">
      <c r="A49" s="298" t="s">
        <v>619</v>
      </c>
      <c r="B49" s="299">
        <v>20946.53</v>
      </c>
      <c r="C49" s="218">
        <f t="shared" si="0"/>
        <v>2094.6529999999998</v>
      </c>
      <c r="D49" s="299">
        <f t="shared" si="1"/>
        <v>18851.877</v>
      </c>
    </row>
    <row r="50" spans="1:5">
      <c r="A50" s="298" t="s">
        <v>620</v>
      </c>
      <c r="B50" s="299">
        <v>273829.14</v>
      </c>
      <c r="C50" s="218">
        <f t="shared" si="0"/>
        <v>27382.914000000004</v>
      </c>
      <c r="D50" s="299">
        <f t="shared" si="1"/>
        <v>246446.22600000002</v>
      </c>
    </row>
    <row r="51" spans="1:5">
      <c r="A51" s="298" t="s">
        <v>621</v>
      </c>
      <c r="B51" s="299">
        <v>411645.56</v>
      </c>
      <c r="C51" s="218">
        <f t="shared" si="0"/>
        <v>41164.556000000004</v>
      </c>
      <c r="D51" s="299">
        <f t="shared" si="1"/>
        <v>370481.00400000002</v>
      </c>
    </row>
    <row r="52" spans="1:5">
      <c r="A52" s="298" t="s">
        <v>622</v>
      </c>
      <c r="B52" s="299">
        <v>247350.39</v>
      </c>
      <c r="C52" s="218">
        <f t="shared" si="0"/>
        <v>24735.039000000004</v>
      </c>
      <c r="D52" s="299">
        <f t="shared" si="1"/>
        <v>222615.35100000002</v>
      </c>
    </row>
    <row r="53" spans="1:5">
      <c r="A53" s="298" t="s">
        <v>623</v>
      </c>
      <c r="B53" s="299">
        <v>392014.93</v>
      </c>
      <c r="C53" s="218">
        <f t="shared" si="0"/>
        <v>39201.492999999995</v>
      </c>
      <c r="D53" s="299">
        <f t="shared" si="1"/>
        <v>352813.43699999998</v>
      </c>
      <c r="E53" s="173"/>
    </row>
    <row r="54" spans="1:5">
      <c r="A54" s="298" t="s">
        <v>624</v>
      </c>
      <c r="B54" s="299">
        <v>338118.3</v>
      </c>
      <c r="C54" s="218">
        <f t="shared" si="0"/>
        <v>33811.83</v>
      </c>
      <c r="D54" s="299">
        <f t="shared" si="1"/>
        <v>304306.46999999997</v>
      </c>
    </row>
    <row r="55" spans="1:5">
      <c r="A55" s="298" t="s">
        <v>625</v>
      </c>
      <c r="B55" s="299">
        <v>45138.1</v>
      </c>
      <c r="C55" s="218">
        <f t="shared" si="0"/>
        <v>4513.8100000000004</v>
      </c>
      <c r="D55" s="299">
        <f t="shared" si="1"/>
        <v>40624.29</v>
      </c>
    </row>
    <row r="56" spans="1:5">
      <c r="A56" s="298" t="s">
        <v>626</v>
      </c>
      <c r="B56" s="299">
        <v>184134.5</v>
      </c>
      <c r="C56" s="218">
        <f t="shared" si="0"/>
        <v>18413.45</v>
      </c>
      <c r="D56" s="299">
        <f t="shared" si="1"/>
        <v>165721.04999999999</v>
      </c>
    </row>
    <row r="57" spans="1:5">
      <c r="A57" s="298" t="s">
        <v>627</v>
      </c>
      <c r="B57" s="299">
        <v>162354.6</v>
      </c>
      <c r="C57" s="218">
        <f t="shared" si="0"/>
        <v>16235.46</v>
      </c>
      <c r="D57" s="299">
        <f t="shared" si="1"/>
        <v>146119.14000000001</v>
      </c>
    </row>
    <row r="58" spans="1:5">
      <c r="A58" s="298" t="s">
        <v>628</v>
      </c>
      <c r="B58" s="299">
        <v>87047.1</v>
      </c>
      <c r="C58" s="218">
        <f t="shared" si="0"/>
        <v>8704.7099999999991</v>
      </c>
      <c r="D58" s="299">
        <f t="shared" si="1"/>
        <v>78342.390000000014</v>
      </c>
    </row>
    <row r="59" spans="1:5">
      <c r="A59" s="298" t="s">
        <v>629</v>
      </c>
      <c r="B59" s="299">
        <v>701420.8</v>
      </c>
      <c r="C59" s="218">
        <f t="shared" si="0"/>
        <v>70142.080000000002</v>
      </c>
      <c r="D59" s="299">
        <f t="shared" si="1"/>
        <v>631278.72000000009</v>
      </c>
    </row>
    <row r="60" spans="1:5">
      <c r="A60" s="298" t="s">
        <v>630</v>
      </c>
      <c r="B60" s="299">
        <v>419920.62</v>
      </c>
      <c r="C60" s="218">
        <f t="shared" si="0"/>
        <v>41992.062000000005</v>
      </c>
      <c r="D60" s="299">
        <f t="shared" si="1"/>
        <v>377928.55799999996</v>
      </c>
    </row>
    <row r="61" spans="1:5">
      <c r="A61" s="298" t="s">
        <v>631</v>
      </c>
      <c r="B61" s="299">
        <v>48415.32</v>
      </c>
      <c r="C61" s="218">
        <f t="shared" si="0"/>
        <v>4841.5320000000002</v>
      </c>
      <c r="D61" s="299">
        <f t="shared" si="1"/>
        <v>43573.788</v>
      </c>
    </row>
    <row r="62" spans="1:5">
      <c r="A62" s="298" t="s">
        <v>632</v>
      </c>
      <c r="B62" s="299">
        <v>180500.89</v>
      </c>
      <c r="C62" s="218">
        <f t="shared" si="0"/>
        <v>18050.089</v>
      </c>
      <c r="D62" s="299">
        <f t="shared" si="1"/>
        <v>162450.80100000001</v>
      </c>
    </row>
    <row r="63" spans="1:5">
      <c r="A63" s="298" t="s">
        <v>633</v>
      </c>
      <c r="B63" s="299">
        <v>167800.59</v>
      </c>
      <c r="C63" s="218">
        <f t="shared" si="0"/>
        <v>16780.058999999997</v>
      </c>
      <c r="D63" s="299">
        <f t="shared" si="1"/>
        <v>151020.53099999999</v>
      </c>
    </row>
    <row r="64" spans="1:5">
      <c r="A64" s="298" t="s">
        <v>634</v>
      </c>
      <c r="B64" s="299">
        <v>210184.6</v>
      </c>
      <c r="C64" s="218">
        <f t="shared" si="0"/>
        <v>21018.46</v>
      </c>
      <c r="D64" s="299">
        <f t="shared" si="1"/>
        <v>189166.14</v>
      </c>
    </row>
    <row r="65" spans="1:4">
      <c r="A65" s="298" t="s">
        <v>635</v>
      </c>
      <c r="B65" s="299">
        <v>41995.89</v>
      </c>
      <c r="C65" s="218">
        <f t="shared" si="0"/>
        <v>4199.5889999999999</v>
      </c>
      <c r="D65" s="299">
        <f t="shared" si="1"/>
        <v>37796.300999999999</v>
      </c>
    </row>
    <row r="66" spans="1:4">
      <c r="A66" s="298" t="s">
        <v>636</v>
      </c>
      <c r="B66" s="299">
        <v>227795.08</v>
      </c>
      <c r="C66" s="218">
        <f t="shared" si="0"/>
        <v>22779.507999999998</v>
      </c>
      <c r="D66" s="299">
        <f t="shared" si="1"/>
        <v>205015.57199999999</v>
      </c>
    </row>
    <row r="67" spans="1:4">
      <c r="A67" s="298" t="s">
        <v>637</v>
      </c>
      <c r="B67" s="299">
        <v>178519.72</v>
      </c>
      <c r="C67" s="218">
        <f t="shared" si="0"/>
        <v>17851.971999999998</v>
      </c>
      <c r="D67" s="299">
        <f t="shared" si="1"/>
        <v>160667.74799999999</v>
      </c>
    </row>
    <row r="68" spans="1:4">
      <c r="A68" s="298" t="s">
        <v>638</v>
      </c>
      <c r="B68" s="299">
        <v>448410.73</v>
      </c>
      <c r="C68" s="218">
        <f t="shared" si="0"/>
        <v>44841.072999999997</v>
      </c>
      <c r="D68" s="299">
        <f t="shared" si="1"/>
        <v>403569.65700000001</v>
      </c>
    </row>
    <row r="69" spans="1:4">
      <c r="A69" s="298" t="s">
        <v>639</v>
      </c>
      <c r="B69" s="299">
        <v>88791.96</v>
      </c>
      <c r="C69" s="218">
        <f t="shared" si="0"/>
        <v>8879.1960000000017</v>
      </c>
      <c r="D69" s="299">
        <f t="shared" si="1"/>
        <v>79912.76400000001</v>
      </c>
    </row>
    <row r="70" spans="1:4">
      <c r="A70" s="298" t="s">
        <v>640</v>
      </c>
      <c r="B70" s="299">
        <v>187387.11</v>
      </c>
      <c r="C70" s="218">
        <f t="shared" si="0"/>
        <v>18738.710999999999</v>
      </c>
      <c r="D70" s="299">
        <f t="shared" si="1"/>
        <v>168648.39899999998</v>
      </c>
    </row>
    <row r="71" spans="1:4">
      <c r="A71" s="298" t="s">
        <v>641</v>
      </c>
      <c r="B71" s="299">
        <v>332574.48</v>
      </c>
      <c r="C71" s="218">
        <f t="shared" ref="C71:C94" si="2">B71*10/100</f>
        <v>33257.447999999997</v>
      </c>
      <c r="D71" s="299">
        <f t="shared" si="1"/>
        <v>299317.03200000001</v>
      </c>
    </row>
    <row r="72" spans="1:4">
      <c r="A72" s="298" t="s">
        <v>642</v>
      </c>
      <c r="B72" s="299">
        <v>179902.18</v>
      </c>
      <c r="C72" s="218">
        <f t="shared" si="2"/>
        <v>17990.217999999997</v>
      </c>
      <c r="D72" s="299">
        <f t="shared" ref="D72:D73" si="3">B72-C72</f>
        <v>161911.962</v>
      </c>
    </row>
    <row r="73" spans="1:4">
      <c r="A73" s="298" t="s">
        <v>643</v>
      </c>
      <c r="B73" s="299">
        <v>135438.84</v>
      </c>
      <c r="C73" s="218">
        <f t="shared" si="2"/>
        <v>13543.883999999998</v>
      </c>
      <c r="D73" s="299">
        <f t="shared" si="3"/>
        <v>121894.95600000001</v>
      </c>
    </row>
    <row r="74" spans="1:4">
      <c r="A74" s="298" t="s">
        <v>644</v>
      </c>
      <c r="B74" s="299">
        <v>95095</v>
      </c>
      <c r="C74" s="218">
        <f t="shared" si="2"/>
        <v>9509.5</v>
      </c>
      <c r="D74" s="299">
        <f>B74-C74</f>
        <v>85585.5</v>
      </c>
    </row>
    <row r="75" spans="1:4">
      <c r="A75" s="298" t="s">
        <v>645</v>
      </c>
      <c r="B75" s="299">
        <v>290978.34999999998</v>
      </c>
      <c r="C75" s="218">
        <f t="shared" si="2"/>
        <v>29097.834999999999</v>
      </c>
      <c r="D75" s="299">
        <f t="shared" ref="D75:D94" si="4">B75-C75</f>
        <v>261880.51499999998</v>
      </c>
    </row>
    <row r="76" spans="1:4">
      <c r="A76" s="298" t="s">
        <v>646</v>
      </c>
      <c r="B76" s="299">
        <v>297129.59999999998</v>
      </c>
      <c r="C76" s="218">
        <f t="shared" si="2"/>
        <v>29712.959999999999</v>
      </c>
      <c r="D76" s="299">
        <f t="shared" si="4"/>
        <v>267416.63999999996</v>
      </c>
    </row>
    <row r="77" spans="1:4">
      <c r="A77" s="298" t="s">
        <v>647</v>
      </c>
      <c r="B77" s="299"/>
      <c r="C77" s="218">
        <f t="shared" si="2"/>
        <v>0</v>
      </c>
      <c r="D77" s="299">
        <f t="shared" si="4"/>
        <v>0</v>
      </c>
    </row>
    <row r="78" spans="1:4">
      <c r="A78" s="298" t="s">
        <v>648</v>
      </c>
      <c r="B78" s="299">
        <v>43155.65</v>
      </c>
      <c r="C78" s="218">
        <f t="shared" si="2"/>
        <v>4315.5649999999996</v>
      </c>
      <c r="D78" s="299">
        <f t="shared" si="4"/>
        <v>38840.084999999999</v>
      </c>
    </row>
    <row r="79" spans="1:4">
      <c r="A79" s="298" t="s">
        <v>649</v>
      </c>
      <c r="B79" s="299">
        <v>618212.5</v>
      </c>
      <c r="C79" s="218">
        <f t="shared" si="2"/>
        <v>61821.25</v>
      </c>
      <c r="D79" s="299">
        <f t="shared" si="4"/>
        <v>556391.25</v>
      </c>
    </row>
    <row r="80" spans="1:4">
      <c r="A80" s="298" t="s">
        <v>650</v>
      </c>
      <c r="B80" s="299">
        <v>259977.95</v>
      </c>
      <c r="C80" s="218">
        <f t="shared" si="2"/>
        <v>25997.794999999998</v>
      </c>
      <c r="D80" s="299">
        <f t="shared" si="4"/>
        <v>233980.15500000003</v>
      </c>
    </row>
    <row r="81" spans="1:4">
      <c r="A81" s="298" t="s">
        <v>651</v>
      </c>
      <c r="B81" s="298">
        <v>186005.25</v>
      </c>
      <c r="C81" s="218">
        <f t="shared" si="2"/>
        <v>18600.525000000001</v>
      </c>
      <c r="D81" s="299">
        <f t="shared" si="4"/>
        <v>167404.72500000001</v>
      </c>
    </row>
    <row r="82" spans="1:4">
      <c r="A82" s="298" t="s">
        <v>652</v>
      </c>
      <c r="B82" s="299">
        <v>248056.4</v>
      </c>
      <c r="C82" s="218">
        <f t="shared" si="2"/>
        <v>24805.64</v>
      </c>
      <c r="D82" s="299">
        <f t="shared" si="4"/>
        <v>223250.76</v>
      </c>
    </row>
    <row r="83" spans="1:4">
      <c r="A83" s="298" t="s">
        <v>653</v>
      </c>
      <c r="B83" s="299">
        <v>44879.9</v>
      </c>
      <c r="C83" s="218">
        <f t="shared" si="2"/>
        <v>4487.99</v>
      </c>
      <c r="D83" s="299">
        <f t="shared" si="4"/>
        <v>40391.910000000003</v>
      </c>
    </row>
    <row r="84" spans="1:4">
      <c r="A84" s="298" t="s">
        <v>654</v>
      </c>
      <c r="B84" s="299">
        <v>492337.5</v>
      </c>
      <c r="C84" s="218">
        <f t="shared" si="2"/>
        <v>49233.75</v>
      </c>
      <c r="D84" s="299">
        <f t="shared" si="4"/>
        <v>443103.75</v>
      </c>
    </row>
    <row r="85" spans="1:4">
      <c r="A85" s="298" t="s">
        <v>655</v>
      </c>
      <c r="B85" s="299">
        <v>67277.100000000006</v>
      </c>
      <c r="C85" s="218">
        <f t="shared" si="2"/>
        <v>6727.71</v>
      </c>
      <c r="D85" s="299">
        <f t="shared" si="4"/>
        <v>60549.390000000007</v>
      </c>
    </row>
    <row r="86" spans="1:4">
      <c r="A86" s="298" t="s">
        <v>656</v>
      </c>
      <c r="B86" s="299">
        <v>144130.20000000001</v>
      </c>
      <c r="C86" s="218">
        <f t="shared" si="2"/>
        <v>14413.02</v>
      </c>
      <c r="D86" s="299">
        <f t="shared" si="4"/>
        <v>129717.18000000001</v>
      </c>
    </row>
    <row r="87" spans="1:4">
      <c r="A87" s="298" t="s">
        <v>657</v>
      </c>
      <c r="B87" s="299">
        <v>143981.04999999999</v>
      </c>
      <c r="C87" s="218">
        <f t="shared" si="2"/>
        <v>14398.105</v>
      </c>
      <c r="D87" s="299">
        <f t="shared" si="4"/>
        <v>129582.94499999999</v>
      </c>
    </row>
    <row r="88" spans="1:4">
      <c r="A88" s="298" t="s">
        <v>658</v>
      </c>
      <c r="B88" s="299">
        <v>499466.3</v>
      </c>
      <c r="C88" s="218">
        <f t="shared" si="2"/>
        <v>49946.63</v>
      </c>
      <c r="D88" s="299">
        <f t="shared" si="4"/>
        <v>449519.67</v>
      </c>
    </row>
    <row r="89" spans="1:4">
      <c r="A89" s="298" t="s">
        <v>659</v>
      </c>
      <c r="B89" s="299">
        <v>193513.1</v>
      </c>
      <c r="C89" s="218">
        <f t="shared" si="2"/>
        <v>19351.310000000001</v>
      </c>
      <c r="D89" s="299">
        <f t="shared" si="4"/>
        <v>174161.79</v>
      </c>
    </row>
    <row r="90" spans="1:4">
      <c r="A90" s="298" t="s">
        <v>660</v>
      </c>
      <c r="B90" s="299">
        <v>451453.3</v>
      </c>
      <c r="C90" s="218">
        <f t="shared" si="2"/>
        <v>45145.33</v>
      </c>
      <c r="D90" s="299">
        <f t="shared" si="4"/>
        <v>406307.97</v>
      </c>
    </row>
    <row r="91" spans="1:4">
      <c r="A91" s="298" t="s">
        <v>661</v>
      </c>
      <c r="B91" s="299">
        <v>186440.35</v>
      </c>
      <c r="C91" s="218">
        <f t="shared" si="2"/>
        <v>18644.035</v>
      </c>
      <c r="D91" s="299">
        <f t="shared" si="4"/>
        <v>167796.315</v>
      </c>
    </row>
    <row r="92" spans="1:4">
      <c r="A92" s="298" t="s">
        <v>662</v>
      </c>
      <c r="B92" s="299">
        <v>684000</v>
      </c>
      <c r="C92" s="218">
        <f t="shared" si="2"/>
        <v>68400</v>
      </c>
      <c r="D92" s="299">
        <f t="shared" si="4"/>
        <v>615600</v>
      </c>
    </row>
    <row r="93" spans="1:4">
      <c r="A93" s="298" t="s">
        <v>663</v>
      </c>
      <c r="B93" s="299">
        <v>167614.20000000001</v>
      </c>
      <c r="C93" s="218">
        <f t="shared" si="2"/>
        <v>16761.419999999998</v>
      </c>
      <c r="D93" s="299">
        <f t="shared" si="4"/>
        <v>150852.78000000003</v>
      </c>
    </row>
    <row r="94" spans="1:4" ht="16.2" thickBot="1">
      <c r="A94" s="300" t="s">
        <v>664</v>
      </c>
      <c r="B94" s="301">
        <v>60918.75</v>
      </c>
      <c r="C94" s="218">
        <f t="shared" si="2"/>
        <v>6091.875</v>
      </c>
      <c r="D94" s="301">
        <f t="shared" si="4"/>
        <v>54826.875</v>
      </c>
    </row>
    <row r="95" spans="1:4" ht="16.2" thickBot="1">
      <c r="A95" s="293" t="s">
        <v>298</v>
      </c>
      <c r="B95" s="302">
        <f>SUM(B6:B94)</f>
        <v>22317213.800000008</v>
      </c>
      <c r="C95" s="302">
        <f>SUM(C6:C94)</f>
        <v>2231721.38</v>
      </c>
      <c r="D95" s="303">
        <f>SUM(D6:D94)</f>
        <v>20085492.420000013</v>
      </c>
    </row>
    <row r="103" spans="1:5">
      <c r="A103" s="170" t="s">
        <v>669</v>
      </c>
      <c r="B103" s="174">
        <f>SUM(B6:B73)</f>
        <v>17142591.350000005</v>
      </c>
      <c r="C103" s="174">
        <f>SUM(C6:C73)</f>
        <v>1714259.1350000005</v>
      </c>
      <c r="D103" s="174">
        <f>SUM(D6:D73)</f>
        <v>15428332.215000005</v>
      </c>
      <c r="E103" s="172"/>
    </row>
    <row r="104" spans="1:5">
      <c r="A104" s="170"/>
      <c r="B104" s="174"/>
      <c r="C104" s="174"/>
      <c r="D104" s="174"/>
      <c r="E104" s="172"/>
    </row>
    <row r="105" spans="1:5">
      <c r="A105" s="177" t="s">
        <v>667</v>
      </c>
      <c r="B105" s="69"/>
      <c r="C105" s="176">
        <v>1863264.23</v>
      </c>
      <c r="E105" s="172"/>
    </row>
    <row r="106" spans="1:5">
      <c r="A106" s="178" t="s">
        <v>668</v>
      </c>
      <c r="B106" s="176"/>
      <c r="C106" s="176">
        <f>C105-C103</f>
        <v>149005.09499999951</v>
      </c>
    </row>
    <row r="107" spans="1:5">
      <c r="A107" s="294" t="s">
        <v>670</v>
      </c>
      <c r="C107" s="175">
        <f>C103+C106</f>
        <v>1863264.23</v>
      </c>
    </row>
    <row r="109" spans="1:5">
      <c r="A109" s="171" t="s">
        <v>666</v>
      </c>
    </row>
    <row r="110" spans="1:5" ht="16.2" thickBot="1">
      <c r="A110" s="171"/>
    </row>
    <row r="111" spans="1:5">
      <c r="A111" s="304" t="s">
        <v>572</v>
      </c>
      <c r="B111" s="305" t="s">
        <v>573</v>
      </c>
      <c r="C111" s="305" t="s">
        <v>574</v>
      </c>
      <c r="D111" s="306" t="s">
        <v>575</v>
      </c>
    </row>
    <row r="112" spans="1:5">
      <c r="A112" s="307" t="s">
        <v>997</v>
      </c>
      <c r="B112" s="299">
        <v>94740</v>
      </c>
      <c r="C112" s="299">
        <f>B112*5/100</f>
        <v>4737</v>
      </c>
      <c r="D112" s="308">
        <f>B112-C112</f>
        <v>90003</v>
      </c>
    </row>
    <row r="113" spans="1:6">
      <c r="A113" s="307" t="s">
        <v>998</v>
      </c>
      <c r="B113" s="299">
        <v>32648</v>
      </c>
      <c r="C113" s="299">
        <f t="shared" ref="C113:C128" si="5">B113*5/100</f>
        <v>1632.4</v>
      </c>
      <c r="D113" s="308">
        <f t="shared" ref="D113:D128" si="6">B113-C113</f>
        <v>31015.599999999999</v>
      </c>
    </row>
    <row r="114" spans="1:6">
      <c r="A114" s="307" t="s">
        <v>999</v>
      </c>
      <c r="B114" s="299">
        <v>162130</v>
      </c>
      <c r="C114" s="299">
        <f t="shared" si="5"/>
        <v>8106.5</v>
      </c>
      <c r="D114" s="308">
        <f t="shared" si="6"/>
        <v>154023.5</v>
      </c>
    </row>
    <row r="115" spans="1:6">
      <c r="A115" s="307" t="s">
        <v>1000</v>
      </c>
      <c r="B115" s="299">
        <v>155808</v>
      </c>
      <c r="C115" s="299">
        <f t="shared" si="5"/>
        <v>7790.4</v>
      </c>
      <c r="D115" s="308">
        <f t="shared" si="6"/>
        <v>148017.60000000001</v>
      </c>
    </row>
    <row r="116" spans="1:6">
      <c r="A116" s="307" t="s">
        <v>1001</v>
      </c>
      <c r="B116" s="299">
        <v>96258</v>
      </c>
      <c r="C116" s="299">
        <f t="shared" si="5"/>
        <v>4812.8999999999996</v>
      </c>
      <c r="D116" s="308">
        <f t="shared" si="6"/>
        <v>91445.1</v>
      </c>
      <c r="F116" s="75">
        <f>C95+C129</f>
        <v>2374681.48</v>
      </c>
    </row>
    <row r="117" spans="1:6">
      <c r="A117" s="307" t="s">
        <v>1002</v>
      </c>
      <c r="B117" s="299">
        <v>147559</v>
      </c>
      <c r="C117" s="299">
        <f t="shared" si="5"/>
        <v>7377.95</v>
      </c>
      <c r="D117" s="308">
        <f t="shared" si="6"/>
        <v>140181.04999999999</v>
      </c>
    </row>
    <row r="118" spans="1:6">
      <c r="A118" s="307" t="s">
        <v>1003</v>
      </c>
      <c r="B118" s="299">
        <v>411154</v>
      </c>
      <c r="C118" s="299">
        <f t="shared" si="5"/>
        <v>20557.7</v>
      </c>
      <c r="D118" s="308">
        <f t="shared" si="6"/>
        <v>390596.3</v>
      </c>
    </row>
    <row r="119" spans="1:6">
      <c r="A119" s="307" t="s">
        <v>1004</v>
      </c>
      <c r="B119" s="299">
        <v>87517</v>
      </c>
      <c r="C119" s="299">
        <f t="shared" si="5"/>
        <v>4375.8500000000004</v>
      </c>
      <c r="D119" s="308">
        <f t="shared" si="6"/>
        <v>83141.149999999994</v>
      </c>
    </row>
    <row r="120" spans="1:6">
      <c r="A120" s="307" t="s">
        <v>1005</v>
      </c>
      <c r="B120" s="299">
        <v>189077</v>
      </c>
      <c r="C120" s="299">
        <f t="shared" si="5"/>
        <v>9453.85</v>
      </c>
      <c r="D120" s="308">
        <f t="shared" si="6"/>
        <v>179623.15</v>
      </c>
    </row>
    <row r="121" spans="1:6">
      <c r="A121" s="307" t="s">
        <v>1006</v>
      </c>
      <c r="B121" s="299">
        <v>147676</v>
      </c>
      <c r="C121" s="299">
        <f t="shared" si="5"/>
        <v>7383.8</v>
      </c>
      <c r="D121" s="308">
        <f t="shared" si="6"/>
        <v>140292.20000000001</v>
      </c>
    </row>
    <row r="122" spans="1:6">
      <c r="A122" s="307" t="s">
        <v>1007</v>
      </c>
      <c r="B122" s="299">
        <v>57892</v>
      </c>
      <c r="C122" s="299">
        <f t="shared" si="5"/>
        <v>2894.6</v>
      </c>
      <c r="D122" s="308">
        <f t="shared" si="6"/>
        <v>54997.4</v>
      </c>
    </row>
    <row r="123" spans="1:6">
      <c r="A123" s="307" t="s">
        <v>1008</v>
      </c>
      <c r="B123" s="299">
        <v>1030655</v>
      </c>
      <c r="C123" s="299">
        <f t="shared" si="5"/>
        <v>51532.75</v>
      </c>
      <c r="D123" s="308">
        <f t="shared" si="6"/>
        <v>979122.25</v>
      </c>
    </row>
    <row r="124" spans="1:6">
      <c r="A124" s="307" t="s">
        <v>1009</v>
      </c>
      <c r="B124" s="299">
        <v>108533</v>
      </c>
      <c r="C124" s="299">
        <f t="shared" si="5"/>
        <v>5426.65</v>
      </c>
      <c r="D124" s="308">
        <f t="shared" si="6"/>
        <v>103106.35</v>
      </c>
      <c r="F124" s="75">
        <f>C95+C129</f>
        <v>2374681.48</v>
      </c>
    </row>
    <row r="125" spans="1:6">
      <c r="A125" s="307" t="s">
        <v>1010</v>
      </c>
      <c r="B125" s="299">
        <v>81115</v>
      </c>
      <c r="C125" s="299">
        <f t="shared" si="5"/>
        <v>4055.75</v>
      </c>
      <c r="D125" s="308">
        <f t="shared" si="6"/>
        <v>77059.25</v>
      </c>
    </row>
    <row r="126" spans="1:6">
      <c r="A126" s="307" t="s">
        <v>1011</v>
      </c>
      <c r="B126" s="299">
        <v>8046</v>
      </c>
      <c r="C126" s="299">
        <f t="shared" si="5"/>
        <v>402.3</v>
      </c>
      <c r="D126" s="308">
        <f t="shared" si="6"/>
        <v>7643.7</v>
      </c>
    </row>
    <row r="127" spans="1:6">
      <c r="A127" s="307" t="s">
        <v>1012</v>
      </c>
      <c r="B127" s="299">
        <v>17141</v>
      </c>
      <c r="C127" s="299">
        <f t="shared" si="5"/>
        <v>857.05</v>
      </c>
      <c r="D127" s="308">
        <f t="shared" si="6"/>
        <v>16283.95</v>
      </c>
      <c r="E127" s="75">
        <f>C95+C129</f>
        <v>2374681.48</v>
      </c>
    </row>
    <row r="128" spans="1:6" ht="16.2" thickBot="1">
      <c r="A128" s="309" t="s">
        <v>664</v>
      </c>
      <c r="B128" s="214">
        <v>31253</v>
      </c>
      <c r="C128" s="214">
        <f t="shared" si="5"/>
        <v>1562.65</v>
      </c>
      <c r="D128" s="215">
        <f t="shared" si="6"/>
        <v>29690.35</v>
      </c>
    </row>
    <row r="129" spans="1:7">
      <c r="B129" s="175">
        <f>SUM(B112:B128)</f>
        <v>2859202</v>
      </c>
      <c r="C129" s="175">
        <f>SUM(C112:C128)</f>
        <v>142960.09999999998</v>
      </c>
      <c r="D129" s="175">
        <f t="shared" ref="D129" si="7">SUM(D112:D128)</f>
        <v>2716241.9000000004</v>
      </c>
      <c r="E129" s="75">
        <f>B95+B129</f>
        <v>25176415.800000008</v>
      </c>
    </row>
    <row r="130" spans="1:7">
      <c r="B130" s="69"/>
      <c r="C130" s="69"/>
      <c r="D130" s="69"/>
      <c r="F130" s="75">
        <f>B129-B96</f>
        <v>2859202</v>
      </c>
    </row>
    <row r="131" spans="1:7">
      <c r="B131" s="69"/>
      <c r="C131" s="69"/>
      <c r="D131" s="69"/>
      <c r="E131" s="75">
        <f>C95+C129</f>
        <v>2374681.48</v>
      </c>
    </row>
    <row r="132" spans="1:7">
      <c r="B132" s="69"/>
      <c r="C132" s="69"/>
      <c r="D132" s="69"/>
      <c r="G132" s="75">
        <f>C95+C129</f>
        <v>2374681.48</v>
      </c>
    </row>
    <row r="133" spans="1:7">
      <c r="A133" s="170" t="s">
        <v>669</v>
      </c>
      <c r="B133" s="174">
        <f>SUM(B74:B94)</f>
        <v>5174622.4499999993</v>
      </c>
      <c r="C133" s="175">
        <f>SUM(C74:C94)</f>
        <v>517462.24499999994</v>
      </c>
      <c r="D133" s="175">
        <f>SUM(D74:D94)</f>
        <v>4657160.205000001</v>
      </c>
      <c r="E133" s="75"/>
    </row>
    <row r="134" spans="1:7">
      <c r="A134" s="170"/>
      <c r="B134" s="174"/>
      <c r="C134" s="175"/>
      <c r="D134" s="175"/>
      <c r="F134" s="75">
        <f>C129+C95</f>
        <v>2374681.48</v>
      </c>
      <c r="G134" s="75"/>
    </row>
    <row r="135" spans="1:7">
      <c r="A135" s="177" t="s">
        <v>667</v>
      </c>
      <c r="B135" s="69"/>
      <c r="C135" s="175">
        <v>291988.40000000002</v>
      </c>
    </row>
    <row r="136" spans="1:7">
      <c r="A136" s="178" t="s">
        <v>668</v>
      </c>
      <c r="B136" s="69"/>
      <c r="C136" s="175">
        <f>C133-C135</f>
        <v>225473.84499999991</v>
      </c>
      <c r="G136" s="75"/>
    </row>
    <row r="137" spans="1:7">
      <c r="A137" s="294" t="s">
        <v>670</v>
      </c>
      <c r="C137" s="175">
        <f>C133-C136</f>
        <v>291988.40000000002</v>
      </c>
      <c r="F137" s="75">
        <f>C95+C129+B96</f>
        <v>2374681.48</v>
      </c>
    </row>
    <row r="139" spans="1:7">
      <c r="A139" s="170" t="s">
        <v>665</v>
      </c>
      <c r="B139" s="175">
        <f>B103+B133</f>
        <v>22317213.800000004</v>
      </c>
      <c r="C139" s="175">
        <f>C103+C133</f>
        <v>2231721.3800000004</v>
      </c>
      <c r="D139" s="175">
        <f>D103+D133</f>
        <v>20085492.420000006</v>
      </c>
    </row>
    <row r="141" spans="1:7">
      <c r="A141" s="69" t="s">
        <v>671</v>
      </c>
      <c r="B141" s="75">
        <f>B103+B133</f>
        <v>22317213.800000004</v>
      </c>
    </row>
    <row r="142" spans="1:7">
      <c r="A142" s="69" t="s">
        <v>672</v>
      </c>
      <c r="B142" s="75">
        <f>C107+C137</f>
        <v>2155252.63</v>
      </c>
      <c r="C142" s="175">
        <f>C107+C137</f>
        <v>2155252.63</v>
      </c>
      <c r="E142" s="75">
        <f>C95+C129</f>
        <v>2374681.48</v>
      </c>
    </row>
    <row r="143" spans="1:7">
      <c r="A143" s="170" t="s">
        <v>673</v>
      </c>
      <c r="B143" s="175">
        <f>B141-B142</f>
        <v>20161961.170000006</v>
      </c>
      <c r="E143" s="75">
        <f>D95+D129</f>
        <v>22801734.320000015</v>
      </c>
    </row>
    <row r="151" spans="3:3">
      <c r="C151" s="75">
        <f>D95+D129</f>
        <v>22801734.320000015</v>
      </c>
    </row>
    <row r="152" spans="3:3">
      <c r="C152" s="75">
        <v>22651233.690000001</v>
      </c>
    </row>
    <row r="153" spans="3:3">
      <c r="C153" s="75">
        <f>C151-C152</f>
        <v>150500.63000001386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46"/>
  <sheetViews>
    <sheetView tabSelected="1" view="pageBreakPreview" topLeftCell="A7" zoomScaleSheetLayoutView="100" workbookViewId="0">
      <selection activeCell="A9" sqref="A9"/>
    </sheetView>
  </sheetViews>
  <sheetFormatPr defaultColWidth="9.109375" defaultRowHeight="15.6"/>
  <cols>
    <col min="1" max="1" width="65.109375" style="69" customWidth="1"/>
    <col min="2" max="2" width="15" style="69" customWidth="1"/>
    <col min="3" max="3" width="28" style="69" customWidth="1"/>
    <col min="4" max="4" width="28.5546875" style="69" customWidth="1"/>
    <col min="5" max="6" width="12.5546875" style="69" bestFit="1" customWidth="1"/>
    <col min="7" max="16384" width="9.109375" style="69"/>
  </cols>
  <sheetData>
    <row r="1" spans="1:5" ht="33.75" customHeight="1">
      <c r="A1" s="584" t="s">
        <v>529</v>
      </c>
      <c r="B1" s="584"/>
      <c r="C1" s="584"/>
      <c r="D1" s="584"/>
    </row>
    <row r="2" spans="1:5" ht="14.25" customHeight="1">
      <c r="A2" s="589"/>
      <c r="B2" s="589"/>
      <c r="C2" s="589"/>
      <c r="D2" s="589"/>
      <c r="E2" s="589"/>
    </row>
    <row r="3" spans="1:5" ht="12.75" customHeight="1">
      <c r="A3" s="582" t="s">
        <v>1413</v>
      </c>
      <c r="B3" s="582"/>
      <c r="C3" s="582"/>
      <c r="D3" s="582"/>
    </row>
    <row r="4" spans="1:5" ht="12.75" customHeight="1">
      <c r="A4" s="70"/>
      <c r="B4" s="70"/>
      <c r="C4" s="70"/>
      <c r="D4" s="70"/>
    </row>
    <row r="5" spans="1:5" ht="16.2" thickBot="1">
      <c r="A5" s="71"/>
      <c r="B5" s="71"/>
      <c r="C5" s="587" t="s">
        <v>1393</v>
      </c>
      <c r="D5" s="587"/>
    </row>
    <row r="6" spans="1:5" ht="16.2" thickBot="1">
      <c r="A6" s="79" t="s">
        <v>435</v>
      </c>
      <c r="B6" s="79" t="s">
        <v>419</v>
      </c>
      <c r="C6" s="79" t="s">
        <v>436</v>
      </c>
      <c r="D6" s="79" t="s">
        <v>421</v>
      </c>
    </row>
    <row r="7" spans="1:5">
      <c r="A7" s="73" t="s">
        <v>437</v>
      </c>
      <c r="B7" s="206">
        <v>12</v>
      </c>
      <c r="C7" s="101" t="s">
        <v>242</v>
      </c>
      <c r="D7" s="101" t="str">
        <f>'S 12 13'!C20</f>
        <v>-</v>
      </c>
    </row>
    <row r="8" spans="1:5">
      <c r="A8" s="122" t="s">
        <v>284</v>
      </c>
      <c r="B8" s="205">
        <v>13</v>
      </c>
      <c r="C8" s="74">
        <f>'S 12 13'!B60</f>
        <v>795613523</v>
      </c>
      <c r="D8" s="74">
        <f>'S 12 13'!C60</f>
        <v>940753153</v>
      </c>
    </row>
    <row r="9" spans="1:5">
      <c r="A9" s="122" t="s">
        <v>12</v>
      </c>
      <c r="B9" s="205">
        <v>14</v>
      </c>
      <c r="C9" s="74">
        <f>'S 14 15'!D11</f>
        <v>5070436</v>
      </c>
      <c r="D9" s="74">
        <f>'S 14 15'!E11</f>
        <v>5610720</v>
      </c>
    </row>
    <row r="10" spans="1:5" ht="28.5" customHeight="1">
      <c r="A10" s="257" t="s">
        <v>260</v>
      </c>
      <c r="B10" s="205">
        <v>15</v>
      </c>
      <c r="C10" s="335" t="s">
        <v>242</v>
      </c>
      <c r="D10" s="335" t="s">
        <v>242</v>
      </c>
    </row>
    <row r="11" spans="1:5">
      <c r="A11" s="122" t="s">
        <v>13</v>
      </c>
      <c r="B11" s="205">
        <v>16</v>
      </c>
      <c r="C11" s="365" t="s">
        <v>242</v>
      </c>
      <c r="D11" s="207" t="s">
        <v>242</v>
      </c>
    </row>
    <row r="12" spans="1:5">
      <c r="A12" s="122" t="s">
        <v>14</v>
      </c>
      <c r="B12" s="205">
        <v>17</v>
      </c>
      <c r="C12" s="74">
        <f>'S 16 17'!B46</f>
        <v>26053873</v>
      </c>
      <c r="D12" s="74">
        <f>'S 16 17'!C46</f>
        <v>20398951</v>
      </c>
    </row>
    <row r="13" spans="1:5">
      <c r="A13" s="122" t="s">
        <v>15</v>
      </c>
      <c r="B13" s="205">
        <v>18</v>
      </c>
      <c r="C13" s="74">
        <f>'S 18  20'!B24</f>
        <v>21919703</v>
      </c>
      <c r="D13" s="74">
        <f>'S 18  20'!C24</f>
        <v>22804005</v>
      </c>
    </row>
    <row r="14" spans="1:5" s="86" customFormat="1">
      <c r="A14" s="122" t="s">
        <v>16</v>
      </c>
      <c r="B14" s="205">
        <v>19</v>
      </c>
      <c r="C14" s="74">
        <f>'S 18  20'!B38</f>
        <v>-16982149.030000001</v>
      </c>
      <c r="D14" s="74">
        <f>'S 18  20'!C38</f>
        <v>-374050.1400000006</v>
      </c>
    </row>
    <row r="15" spans="1:5" s="86" customFormat="1" ht="16.2" thickBot="1">
      <c r="A15" s="77"/>
      <c r="B15" s="103"/>
      <c r="C15" s="336"/>
      <c r="D15" s="78"/>
    </row>
    <row r="16" spans="1:5" ht="16.2" thickBot="1">
      <c r="A16" s="79" t="s">
        <v>17</v>
      </c>
      <c r="B16" s="79"/>
      <c r="C16" s="201">
        <f>SUM(C8:C15)</f>
        <v>831675385.97000003</v>
      </c>
      <c r="D16" s="201">
        <f>SUM(D8:D15)</f>
        <v>989192778.86000001</v>
      </c>
    </row>
    <row r="17" spans="1:6" ht="16.2" thickBot="1">
      <c r="A17" s="71"/>
      <c r="B17" s="317"/>
      <c r="C17" s="92"/>
      <c r="D17" s="92"/>
    </row>
    <row r="18" spans="1:6" ht="16.2" thickBot="1">
      <c r="A18" s="96" t="s">
        <v>18</v>
      </c>
      <c r="B18" s="79" t="s">
        <v>419</v>
      </c>
      <c r="C18" s="79" t="s">
        <v>436</v>
      </c>
      <c r="D18" s="79" t="s">
        <v>421</v>
      </c>
    </row>
    <row r="19" spans="1:6">
      <c r="A19" s="91" t="s">
        <v>19</v>
      </c>
      <c r="B19" s="206">
        <v>20</v>
      </c>
      <c r="C19" s="337">
        <f>'S 18  20'!B60</f>
        <v>706284112</v>
      </c>
      <c r="D19" s="337">
        <f>'S 18  20'!C60</f>
        <v>630473019</v>
      </c>
    </row>
    <row r="20" spans="1:6">
      <c r="A20" s="93" t="s">
        <v>20</v>
      </c>
      <c r="B20" s="205">
        <v>21</v>
      </c>
      <c r="C20" s="74">
        <f>'S 21'!C104</f>
        <v>306050716</v>
      </c>
      <c r="D20" s="74">
        <f>'S 21'!D104</f>
        <v>242109736</v>
      </c>
      <c r="E20" s="75"/>
      <c r="F20" s="75"/>
    </row>
    <row r="21" spans="1:6">
      <c r="A21" s="93" t="s">
        <v>21</v>
      </c>
      <c r="B21" s="205">
        <v>22</v>
      </c>
      <c r="C21" s="338" t="str">
        <f>'S 22 23'!B12</f>
        <v>-</v>
      </c>
      <c r="D21" s="338" t="str">
        <f>'S 22 23'!C12</f>
        <v>-</v>
      </c>
      <c r="E21" s="75"/>
    </row>
    <row r="22" spans="1:6">
      <c r="A22" s="93" t="s">
        <v>22</v>
      </c>
      <c r="B22" s="205">
        <v>23</v>
      </c>
      <c r="C22" s="338" t="s">
        <v>242</v>
      </c>
      <c r="D22" s="207" t="s">
        <v>242</v>
      </c>
      <c r="E22" s="75"/>
    </row>
    <row r="23" spans="1:6">
      <c r="A23" s="93" t="s">
        <v>23</v>
      </c>
      <c r="B23" s="205">
        <v>8</v>
      </c>
      <c r="C23" s="339">
        <f>'S 8'!G52</f>
        <v>301065526.84999996</v>
      </c>
      <c r="D23" s="74">
        <f>'S 8'!G42</f>
        <v>294937683.25681877</v>
      </c>
    </row>
    <row r="24" spans="1:6" ht="16.2" thickBot="1">
      <c r="A24" s="95"/>
      <c r="B24" s="103"/>
      <c r="C24" s="77"/>
      <c r="D24" s="78"/>
    </row>
    <row r="25" spans="1:6" ht="16.2" thickBot="1">
      <c r="A25" s="96" t="s">
        <v>24</v>
      </c>
      <c r="B25" s="104"/>
      <c r="C25" s="201">
        <f>SUM(C19:C24)</f>
        <v>1313400354.8499999</v>
      </c>
      <c r="D25" s="201">
        <f>SUM(D19:D24)</f>
        <v>1167520438.2568188</v>
      </c>
      <c r="E25" s="75"/>
    </row>
    <row r="26" spans="1:6" ht="16.2" thickBot="1">
      <c r="A26" s="97"/>
      <c r="B26" s="317"/>
      <c r="C26" s="71"/>
      <c r="D26" s="98"/>
      <c r="F26" s="75"/>
    </row>
    <row r="27" spans="1:6">
      <c r="A27" s="340" t="s">
        <v>561</v>
      </c>
      <c r="B27" s="226"/>
      <c r="C27" s="341">
        <f>C16-C25</f>
        <v>-481724968.87999988</v>
      </c>
      <c r="D27" s="341">
        <f>D16-D25</f>
        <v>-178327659.39681876</v>
      </c>
      <c r="E27" s="75"/>
      <c r="F27" s="75"/>
    </row>
    <row r="28" spans="1:6">
      <c r="A28" s="93" t="s">
        <v>25</v>
      </c>
      <c r="B28" s="102"/>
      <c r="C28" s="338" t="str">
        <f>'S 22 23'!B19</f>
        <v>-</v>
      </c>
      <c r="D28" s="338" t="str">
        <f>'S 22 23'!C19</f>
        <v>-</v>
      </c>
    </row>
    <row r="29" spans="1:6" ht="16.2" thickBot="1">
      <c r="A29" s="105" t="s">
        <v>526</v>
      </c>
      <c r="B29" s="106"/>
      <c r="C29" s="402" t="str">
        <f>'S 22 23'!B20</f>
        <v>-</v>
      </c>
      <c r="D29" s="402" t="str">
        <f>'S 22 23'!C20</f>
        <v>-</v>
      </c>
    </row>
    <row r="30" spans="1:6" ht="16.2" thickBot="1">
      <c r="A30" s="71"/>
      <c r="B30" s="317"/>
      <c r="C30" s="71"/>
      <c r="D30" s="92"/>
    </row>
    <row r="31" spans="1:6">
      <c r="A31" s="340" t="s">
        <v>282</v>
      </c>
      <c r="B31" s="342"/>
      <c r="C31" s="341">
        <f>C27</f>
        <v>-481724968.87999988</v>
      </c>
      <c r="D31" s="341">
        <f>D27</f>
        <v>-178327659.39681876</v>
      </c>
    </row>
    <row r="32" spans="1:6">
      <c r="A32" s="93" t="s">
        <v>433</v>
      </c>
      <c r="B32" s="205">
        <v>24</v>
      </c>
      <c r="C32" s="338" t="str">
        <f>'S 22 23'!B23</f>
        <v>-</v>
      </c>
      <c r="D32" s="338" t="str">
        <f>'S 22 23'!C23</f>
        <v>-</v>
      </c>
    </row>
    <row r="33" spans="1:4" ht="16.2" thickBot="1">
      <c r="A33" s="105" t="s">
        <v>434</v>
      </c>
      <c r="B33" s="343">
        <v>25</v>
      </c>
      <c r="C33" s="402" t="str">
        <f>'S 22 23'!B24</f>
        <v>-</v>
      </c>
      <c r="D33" s="402" t="str">
        <f>'S 22 23'!C24</f>
        <v>-</v>
      </c>
    </row>
    <row r="35" spans="1:4" ht="15" customHeight="1"/>
    <row r="36" spans="1:4" ht="12.75" customHeight="1">
      <c r="B36" s="81"/>
      <c r="C36" s="583"/>
      <c r="D36" s="583"/>
    </row>
    <row r="37" spans="1:4" ht="15" customHeight="1">
      <c r="A37" s="586" t="s">
        <v>1016</v>
      </c>
      <c r="B37" s="584" t="s">
        <v>1392</v>
      </c>
      <c r="C37" s="584"/>
      <c r="D37" s="584"/>
    </row>
    <row r="38" spans="1:4">
      <c r="A38" s="586"/>
      <c r="B38" s="584"/>
      <c r="C38" s="584"/>
      <c r="D38" s="584"/>
    </row>
    <row r="39" spans="1:4">
      <c r="A39" s="586"/>
      <c r="B39" s="584"/>
      <c r="C39" s="584"/>
      <c r="D39" s="584"/>
    </row>
    <row r="40" spans="1:4" ht="17.25" customHeight="1">
      <c r="A40" s="583" t="s">
        <v>1019</v>
      </c>
      <c r="B40" s="583"/>
      <c r="C40" s="583"/>
      <c r="D40" s="583"/>
    </row>
    <row r="41" spans="1:4">
      <c r="A41" s="71"/>
      <c r="B41" s="81"/>
      <c r="C41" s="588"/>
      <c r="D41" s="588"/>
    </row>
    <row r="42" spans="1:4">
      <c r="A42" s="57"/>
      <c r="B42" s="81"/>
      <c r="C42" s="583"/>
      <c r="D42" s="583"/>
    </row>
    <row r="44" spans="1:4">
      <c r="C44" s="586"/>
    </row>
    <row r="45" spans="1:4">
      <c r="C45" s="586"/>
    </row>
    <row r="46" spans="1:4">
      <c r="C46" s="586"/>
    </row>
  </sheetData>
  <mergeCells count="11">
    <mergeCell ref="C44:C46"/>
    <mergeCell ref="C42:D42"/>
    <mergeCell ref="A1:D1"/>
    <mergeCell ref="A3:D3"/>
    <mergeCell ref="C36:D36"/>
    <mergeCell ref="C5:D5"/>
    <mergeCell ref="C41:D41"/>
    <mergeCell ref="A2:E2"/>
    <mergeCell ref="A40:D40"/>
    <mergeCell ref="A37:A39"/>
    <mergeCell ref="B37:D39"/>
  </mergeCells>
  <phoneticPr fontId="0" type="noConversion"/>
  <printOptions horizontalCentered="1"/>
  <pageMargins left="0.51181102362204722" right="0.23622047244094491" top="0.31496062992125984" bottom="0.31496062992125984" header="0.15" footer="0"/>
  <pageSetup paperSize="9" scale="85" orientation="landscape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7">
    <tabColor rgb="FF00B050"/>
  </sheetPr>
  <dimension ref="A1:O56"/>
  <sheetViews>
    <sheetView workbookViewId="0">
      <pane xSplit="2" ySplit="4" topLeftCell="C47" activePane="bottomRight" state="frozen"/>
      <selection pane="topRight" activeCell="C1" sqref="C1"/>
      <selection pane="bottomLeft" activeCell="A5" sqref="A5"/>
      <selection pane="bottomRight" activeCell="L27" sqref="L27:L28"/>
    </sheetView>
  </sheetViews>
  <sheetFormatPr defaultColWidth="9.109375" defaultRowHeight="15.6"/>
  <cols>
    <col min="1" max="1" width="29.44140625" style="37" bestFit="1" customWidth="1"/>
    <col min="2" max="2" width="7" style="37" customWidth="1"/>
    <col min="3" max="3" width="12.33203125" style="38" customWidth="1"/>
    <col min="4" max="4" width="13.5546875" style="38" customWidth="1"/>
    <col min="5" max="6" width="13.6640625" style="37" customWidth="1"/>
    <col min="7" max="7" width="14.6640625" style="37" customWidth="1"/>
    <col min="8" max="8" width="13.44140625" style="37" customWidth="1"/>
    <col min="9" max="9" width="15.5546875" style="37" customWidth="1"/>
    <col min="10" max="10" width="12.6640625" style="37" customWidth="1"/>
    <col min="11" max="11" width="11.5546875" style="37" customWidth="1"/>
    <col min="12" max="12" width="14.88671875" style="37" customWidth="1"/>
    <col min="13" max="13" width="13.5546875" style="37" customWidth="1"/>
    <col min="14" max="14" width="14.5546875" style="37" customWidth="1"/>
    <col min="15" max="15" width="11.5546875" style="37" bestFit="1" customWidth="1"/>
    <col min="16" max="16384" width="9.109375" style="37"/>
  </cols>
  <sheetData>
    <row r="1" spans="1:15">
      <c r="A1" s="678" t="s">
        <v>1431</v>
      </c>
      <c r="B1" s="678"/>
      <c r="C1" s="678"/>
    </row>
    <row r="2" spans="1:15" ht="18.600000000000001" thickBot="1">
      <c r="A2" s="679" t="s">
        <v>1430</v>
      </c>
      <c r="B2" s="679"/>
      <c r="C2" s="679"/>
      <c r="D2" s="679"/>
      <c r="E2" s="679"/>
      <c r="F2" s="36"/>
    </row>
    <row r="3" spans="1:15" ht="26.25" customHeight="1" thickBot="1">
      <c r="A3" s="599" t="s">
        <v>295</v>
      </c>
      <c r="B3" s="600" t="s">
        <v>297</v>
      </c>
      <c r="C3" s="687" t="s">
        <v>521</v>
      </c>
      <c r="D3" s="687" t="s">
        <v>524</v>
      </c>
      <c r="E3" s="600" t="s">
        <v>305</v>
      </c>
      <c r="F3" s="600" t="s">
        <v>287</v>
      </c>
      <c r="G3" s="600" t="s">
        <v>1449</v>
      </c>
      <c r="H3" s="685" t="s">
        <v>1450</v>
      </c>
      <c r="I3" s="689" t="s">
        <v>988</v>
      </c>
      <c r="J3" s="608" t="s">
        <v>297</v>
      </c>
      <c r="K3" s="593"/>
      <c r="L3" s="683" t="s">
        <v>296</v>
      </c>
      <c r="M3" s="672" t="s">
        <v>301</v>
      </c>
    </row>
    <row r="4" spans="1:15" ht="45.75" customHeight="1" thickBot="1">
      <c r="A4" s="682"/>
      <c r="B4" s="681"/>
      <c r="C4" s="688"/>
      <c r="D4" s="688"/>
      <c r="E4" s="681"/>
      <c r="F4" s="606"/>
      <c r="G4" s="681"/>
      <c r="H4" s="686"/>
      <c r="I4" s="690"/>
      <c r="J4" s="161" t="s">
        <v>299</v>
      </c>
      <c r="K4" s="161" t="s">
        <v>300</v>
      </c>
      <c r="L4" s="684"/>
      <c r="M4" s="680"/>
      <c r="N4" s="38"/>
    </row>
    <row r="5" spans="1:15">
      <c r="A5" s="40" t="s">
        <v>288</v>
      </c>
      <c r="B5" s="41"/>
      <c r="C5" s="42"/>
      <c r="D5" s="42"/>
      <c r="E5" s="43"/>
      <c r="F5" s="43"/>
      <c r="G5" s="43"/>
      <c r="H5" s="42"/>
      <c r="I5" s="42"/>
      <c r="J5" s="42"/>
      <c r="K5" s="42"/>
      <c r="L5" s="42"/>
      <c r="M5" s="44"/>
      <c r="N5" s="38"/>
    </row>
    <row r="6" spans="1:15" s="157" customFormat="1">
      <c r="A6" s="232" t="s">
        <v>268</v>
      </c>
      <c r="B6" s="233">
        <v>0.1</v>
      </c>
      <c r="C6" s="234"/>
      <c r="D6" s="234"/>
      <c r="E6" s="235">
        <v>2240683.87</v>
      </c>
      <c r="F6" s="470">
        <f t="shared" ref="F6:F12" si="0">C6-D6+E6</f>
        <v>2240683.87</v>
      </c>
      <c r="G6" s="235">
        <v>2240683.87</v>
      </c>
      <c r="H6" s="48"/>
      <c r="I6" s="48"/>
      <c r="J6" s="231">
        <f>Amortization!E10</f>
        <v>1734723.0291262134</v>
      </c>
      <c r="K6" s="231">
        <f>+H6*0.05</f>
        <v>0</v>
      </c>
      <c r="L6" s="231">
        <f>SUM(J6:K6)</f>
        <v>1734723.0291262134</v>
      </c>
      <c r="M6" s="236">
        <f t="shared" ref="M6:M12" si="1">F6-L6</f>
        <v>505960.84087378671</v>
      </c>
      <c r="N6" s="237"/>
      <c r="O6" s="237"/>
    </row>
    <row r="7" spans="1:15" s="157" customFormat="1">
      <c r="A7" s="238" t="s">
        <v>302</v>
      </c>
      <c r="B7" s="233">
        <v>0.1</v>
      </c>
      <c r="C7" s="234"/>
      <c r="D7" s="234"/>
      <c r="E7" s="235">
        <v>1537073.22</v>
      </c>
      <c r="F7" s="470">
        <f t="shared" si="0"/>
        <v>1537073.22</v>
      </c>
      <c r="G7" s="235">
        <v>1537073.22</v>
      </c>
      <c r="H7" s="48"/>
      <c r="I7" s="48"/>
      <c r="J7" s="231">
        <f>Amortization!E11</f>
        <v>1189992.4660194174</v>
      </c>
      <c r="K7" s="231">
        <f t="shared" ref="K7" si="2">+H7*0.05</f>
        <v>0</v>
      </c>
      <c r="L7" s="231">
        <f>SUM(J7:K7)</f>
        <v>1189992.4660194174</v>
      </c>
      <c r="M7" s="236">
        <f t="shared" si="1"/>
        <v>347080.75398058258</v>
      </c>
      <c r="N7" s="237"/>
      <c r="O7" s="237"/>
    </row>
    <row r="8" spans="1:15" s="153" customFormat="1">
      <c r="A8" s="179" t="s">
        <v>303</v>
      </c>
      <c r="B8" s="180">
        <v>0.1</v>
      </c>
      <c r="C8" s="235">
        <v>18917985</v>
      </c>
      <c r="D8" s="181"/>
      <c r="E8" s="181">
        <v>30103472.190000001</v>
      </c>
      <c r="F8" s="468">
        <f t="shared" si="0"/>
        <v>49021457.189999998</v>
      </c>
      <c r="G8" s="231">
        <v>31767245.190000001</v>
      </c>
      <c r="H8" s="231">
        <v>17254212</v>
      </c>
      <c r="I8" s="48"/>
      <c r="J8" s="182">
        <f>G8*10/100</f>
        <v>3176724.5190000003</v>
      </c>
      <c r="K8" s="182">
        <f>H8*5/100</f>
        <v>862710.6</v>
      </c>
      <c r="L8" s="231">
        <f>SUM(J8:K8)</f>
        <v>4039435.1190000004</v>
      </c>
      <c r="M8" s="183">
        <f>F8-L8+0.01</f>
        <v>44982022.080999993</v>
      </c>
      <c r="N8" s="237"/>
      <c r="O8" s="237"/>
    </row>
    <row r="9" spans="1:15">
      <c r="A9" s="50" t="s">
        <v>267</v>
      </c>
      <c r="B9" s="45">
        <v>0.1</v>
      </c>
      <c r="C9" s="46"/>
      <c r="D9" s="392"/>
      <c r="E9" s="46">
        <v>3861198.05</v>
      </c>
      <c r="F9" s="468">
        <f t="shared" si="0"/>
        <v>3861198.05</v>
      </c>
      <c r="G9" s="48">
        <v>3861198.05</v>
      </c>
      <c r="H9" s="48"/>
      <c r="I9" s="48"/>
      <c r="J9" s="182">
        <f t="shared" ref="J9:J12" si="3">G9*10/100</f>
        <v>386119.80499999999</v>
      </c>
      <c r="K9" s="182">
        <f t="shared" ref="K9:K12" si="4">H9*5/100</f>
        <v>0</v>
      </c>
      <c r="L9" s="48">
        <f>SUM(J9:K9)</f>
        <v>386119.80499999999</v>
      </c>
      <c r="M9" s="49">
        <f t="shared" si="1"/>
        <v>3475078.2449999996</v>
      </c>
      <c r="N9" s="237"/>
      <c r="O9" s="237"/>
    </row>
    <row r="10" spans="1:15">
      <c r="A10" s="50" t="s">
        <v>563</v>
      </c>
      <c r="B10" s="45">
        <v>0.1</v>
      </c>
      <c r="C10" s="235"/>
      <c r="D10" s="392"/>
      <c r="E10" s="46">
        <v>1187211711.96</v>
      </c>
      <c r="F10" s="468">
        <f>C10-D10+E10</f>
        <v>1187211711.96</v>
      </c>
      <c r="G10" s="48">
        <v>1187211711.96</v>
      </c>
      <c r="H10" s="48"/>
      <c r="I10" s="48"/>
      <c r="J10" s="182">
        <f>G10*10/100</f>
        <v>118721171.19600001</v>
      </c>
      <c r="K10" s="182">
        <f t="shared" si="4"/>
        <v>0</v>
      </c>
      <c r="L10" s="48">
        <f>SUM(I10:J10:K10)-0.7</f>
        <v>118721170.49600001</v>
      </c>
      <c r="M10" s="49">
        <f>F10-L10</f>
        <v>1068490541.464</v>
      </c>
      <c r="N10" s="237"/>
      <c r="O10" s="237"/>
    </row>
    <row r="11" spans="1:15">
      <c r="A11" s="50" t="s">
        <v>564</v>
      </c>
      <c r="B11" s="45">
        <v>0.1</v>
      </c>
      <c r="C11" s="46"/>
      <c r="D11" s="392"/>
      <c r="E11" s="46">
        <v>2645487.7799999998</v>
      </c>
      <c r="F11" s="468">
        <f t="shared" si="0"/>
        <v>2645487.7799999998</v>
      </c>
      <c r="G11" s="392">
        <v>2645487.7799999998</v>
      </c>
      <c r="H11" s="48"/>
      <c r="I11" s="48"/>
      <c r="J11" s="182">
        <f t="shared" si="3"/>
        <v>264548.77799999999</v>
      </c>
      <c r="K11" s="182">
        <f t="shared" si="4"/>
        <v>0</v>
      </c>
      <c r="L11" s="48">
        <f t="shared" ref="L11:L12" si="5">SUM(J11:K11)</f>
        <v>264548.77799999999</v>
      </c>
      <c r="M11" s="49">
        <f t="shared" si="1"/>
        <v>2380939.0019999999</v>
      </c>
      <c r="N11" s="237"/>
      <c r="O11" s="237"/>
    </row>
    <row r="12" spans="1:15">
      <c r="A12" s="154" t="s">
        <v>565</v>
      </c>
      <c r="B12" s="45">
        <v>0.1</v>
      </c>
      <c r="C12" s="46"/>
      <c r="D12" s="392"/>
      <c r="E12" s="46">
        <v>59027.86</v>
      </c>
      <c r="F12" s="468">
        <f t="shared" si="0"/>
        <v>59027.86</v>
      </c>
      <c r="G12" s="48">
        <v>59027.86</v>
      </c>
      <c r="H12" s="48"/>
      <c r="I12" s="48"/>
      <c r="J12" s="182">
        <f t="shared" si="3"/>
        <v>5902.7860000000001</v>
      </c>
      <c r="K12" s="182">
        <f t="shared" si="4"/>
        <v>0</v>
      </c>
      <c r="L12" s="48">
        <f t="shared" si="5"/>
        <v>5902.7860000000001</v>
      </c>
      <c r="M12" s="49">
        <f t="shared" si="1"/>
        <v>53125.074000000001</v>
      </c>
      <c r="N12" s="237"/>
      <c r="O12" s="237"/>
    </row>
    <row r="13" spans="1:15" ht="16.2" thickBot="1">
      <c r="A13" s="50"/>
      <c r="B13" s="45"/>
      <c r="C13" s="51">
        <f>SUM(C6:C12)</f>
        <v>18917985</v>
      </c>
      <c r="D13" s="51">
        <f t="shared" ref="D13:L13" si="6">SUM(D6:D12)</f>
        <v>0</v>
      </c>
      <c r="E13" s="51">
        <f>SUM(E6:E12)</f>
        <v>1227658654.9299998</v>
      </c>
      <c r="F13" s="51">
        <f t="shared" si="6"/>
        <v>1246576639.9299998</v>
      </c>
      <c r="G13" s="51">
        <f>SUM(G6:G12)</f>
        <v>1229322427.9299998</v>
      </c>
      <c r="H13" s="51">
        <f t="shared" si="6"/>
        <v>17254212</v>
      </c>
      <c r="I13" s="51">
        <f t="shared" si="6"/>
        <v>0</v>
      </c>
      <c r="J13" s="51">
        <f t="shared" si="6"/>
        <v>125479182.57914564</v>
      </c>
      <c r="K13" s="51">
        <f t="shared" si="6"/>
        <v>862710.6</v>
      </c>
      <c r="L13" s="51">
        <f t="shared" si="6"/>
        <v>126341892.47914563</v>
      </c>
      <c r="M13" s="51">
        <f>SUM(M6:M12)</f>
        <v>1120234747.4608543</v>
      </c>
      <c r="N13" s="38"/>
      <c r="O13" s="237"/>
    </row>
    <row r="14" spans="1:15" ht="16.2" thickTop="1">
      <c r="A14" s="50"/>
      <c r="B14" s="45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168"/>
      <c r="N14" s="38"/>
      <c r="O14" s="237"/>
    </row>
    <row r="15" spans="1:15">
      <c r="A15" s="239" t="s">
        <v>289</v>
      </c>
      <c r="B15" s="240">
        <v>0</v>
      </c>
      <c r="C15" s="234"/>
      <c r="D15" s="234"/>
      <c r="E15" s="235"/>
      <c r="F15" s="235">
        <f>C15+E15-D15</f>
        <v>0</v>
      </c>
      <c r="G15" s="231"/>
      <c r="H15" s="48"/>
      <c r="I15" s="43"/>
      <c r="J15" s="43"/>
      <c r="K15" s="231">
        <v>0</v>
      </c>
      <c r="L15" s="231"/>
      <c r="M15" s="236"/>
      <c r="N15" s="237"/>
      <c r="O15" s="237"/>
    </row>
    <row r="16" spans="1:15">
      <c r="A16" s="239" t="s">
        <v>290</v>
      </c>
      <c r="B16" s="240">
        <v>0</v>
      </c>
      <c r="C16" s="234"/>
      <c r="D16" s="234"/>
      <c r="E16" s="235">
        <v>9166612</v>
      </c>
      <c r="F16" s="470">
        <f t="shared" ref="F16:F17" si="7">C16+E16-D16</f>
        <v>9166612</v>
      </c>
      <c r="G16" s="231">
        <v>9166612</v>
      </c>
      <c r="H16" s="48"/>
      <c r="I16" s="48"/>
      <c r="J16" s="231">
        <v>0</v>
      </c>
      <c r="K16" s="231">
        <f t="shared" ref="K16:K17" si="8">+H16*0.05</f>
        <v>0</v>
      </c>
      <c r="L16" s="231">
        <f t="shared" ref="L16:L23" si="9">SUM(J16:K16)</f>
        <v>0</v>
      </c>
      <c r="M16" s="236">
        <f t="shared" ref="M16:M17" si="10">F16-L16</f>
        <v>9166612</v>
      </c>
      <c r="N16" s="237"/>
      <c r="O16" s="237"/>
    </row>
    <row r="17" spans="1:15">
      <c r="A17" s="1" t="s">
        <v>523</v>
      </c>
      <c r="B17" s="45">
        <v>0.1</v>
      </c>
      <c r="C17" s="46"/>
      <c r="D17" s="392"/>
      <c r="E17" s="47">
        <v>2577560.39</v>
      </c>
      <c r="F17" s="468">
        <f t="shared" si="7"/>
        <v>2577560.39</v>
      </c>
      <c r="G17" s="48">
        <v>2577560.39</v>
      </c>
      <c r="H17" s="48"/>
      <c r="I17" s="48"/>
      <c r="J17" s="48">
        <f t="shared" ref="J17" si="11">G17*10/100</f>
        <v>257756.03900000002</v>
      </c>
      <c r="K17" s="48">
        <f t="shared" si="8"/>
        <v>0</v>
      </c>
      <c r="L17" s="48">
        <f t="shared" si="9"/>
        <v>257756.03900000002</v>
      </c>
      <c r="M17" s="49">
        <f t="shared" si="10"/>
        <v>2319804.3510000003</v>
      </c>
      <c r="N17" s="237"/>
      <c r="O17" s="237"/>
    </row>
    <row r="18" spans="1:15">
      <c r="A18" s="1" t="s">
        <v>291</v>
      </c>
      <c r="B18" s="45">
        <v>0.15</v>
      </c>
      <c r="C18" s="234">
        <v>268297304</v>
      </c>
      <c r="D18" s="392">
        <v>1258238</v>
      </c>
      <c r="E18" s="47">
        <v>537626328.11000001</v>
      </c>
      <c r="F18" s="468">
        <f>C18+E18-D18</f>
        <v>804665394.11000001</v>
      </c>
      <c r="G18" s="231">
        <v>678257742.11000001</v>
      </c>
      <c r="H18" s="231">
        <v>126407652</v>
      </c>
      <c r="I18" s="48"/>
      <c r="J18" s="48">
        <f>+G18*15/100</f>
        <v>101738661.31649999</v>
      </c>
      <c r="K18" s="48">
        <f>+H18*7.5/100</f>
        <v>9480573.9000000004</v>
      </c>
      <c r="L18" s="48">
        <f>SUM(J18:K18)-0.01</f>
        <v>111219235.20649999</v>
      </c>
      <c r="M18" s="49">
        <f>F18-L18</f>
        <v>693446158.90350008</v>
      </c>
      <c r="N18" s="237"/>
      <c r="O18" s="237"/>
    </row>
    <row r="19" spans="1:15">
      <c r="A19" s="1" t="s">
        <v>522</v>
      </c>
      <c r="B19" s="45">
        <v>0.15</v>
      </c>
      <c r="C19" s="46"/>
      <c r="D19" s="392"/>
      <c r="E19" s="47">
        <v>158182197.18000001</v>
      </c>
      <c r="F19" s="468">
        <f>C19+E19-D19</f>
        <v>158182197.18000001</v>
      </c>
      <c r="G19" s="48">
        <v>158182197.18000001</v>
      </c>
      <c r="H19" s="48"/>
      <c r="I19" s="48"/>
      <c r="J19" s="48">
        <f t="shared" ref="J19:J23" si="12">+G19*15/100</f>
        <v>23727329.577000003</v>
      </c>
      <c r="K19" s="48">
        <f>+H19*7.5/100</f>
        <v>0</v>
      </c>
      <c r="L19" s="48">
        <f t="shared" si="9"/>
        <v>23727329.577000003</v>
      </c>
      <c r="M19" s="49">
        <f>F19-L19</f>
        <v>134454867.60300002</v>
      </c>
      <c r="N19" s="237"/>
      <c r="O19" s="237"/>
    </row>
    <row r="20" spans="1:15">
      <c r="A20" s="1" t="s">
        <v>987</v>
      </c>
      <c r="B20" s="45"/>
      <c r="C20" s="392"/>
      <c r="D20" s="392"/>
      <c r="E20" s="47"/>
      <c r="F20" s="468"/>
      <c r="G20" s="48"/>
      <c r="H20" s="48"/>
      <c r="I20" s="48"/>
      <c r="J20" s="48"/>
      <c r="K20" s="48"/>
      <c r="L20" s="48"/>
      <c r="M20" s="49"/>
      <c r="N20" s="38"/>
      <c r="O20" s="38"/>
    </row>
    <row r="21" spans="1:15">
      <c r="A21" s="50" t="s">
        <v>1454</v>
      </c>
      <c r="B21" s="485">
        <v>0.15</v>
      </c>
      <c r="C21" s="234">
        <v>11016415</v>
      </c>
      <c r="D21" s="392"/>
      <c r="E21" s="47"/>
      <c r="F21" s="468">
        <f>C21+E21-D21</f>
        <v>11016415</v>
      </c>
      <c r="G21" s="231">
        <v>5258839</v>
      </c>
      <c r="H21" s="231">
        <v>5757576</v>
      </c>
      <c r="I21" s="48"/>
      <c r="J21" s="48">
        <f t="shared" ref="J21" si="13">+G21*15/100</f>
        <v>788825.85</v>
      </c>
      <c r="K21" s="48">
        <f>+H21*7.5/100</f>
        <v>431818.2</v>
      </c>
      <c r="L21" s="48">
        <f t="shared" ref="L21" si="14">SUM(J21:K21)</f>
        <v>1220644.05</v>
      </c>
      <c r="M21" s="49">
        <f>F21-L21</f>
        <v>9795770.9499999993</v>
      </c>
      <c r="N21" s="38"/>
      <c r="O21" s="38"/>
    </row>
    <row r="22" spans="1:15">
      <c r="A22" s="50" t="s">
        <v>1197</v>
      </c>
      <c r="B22" s="393">
        <v>0.15</v>
      </c>
      <c r="C22" s="392"/>
      <c r="D22" s="392"/>
      <c r="E22" s="468">
        <v>2848190.62</v>
      </c>
      <c r="F22" s="468">
        <f>C22+E22-D22</f>
        <v>2848190.62</v>
      </c>
      <c r="G22" s="231">
        <v>2848190.62</v>
      </c>
      <c r="H22" s="48"/>
      <c r="I22" s="48"/>
      <c r="J22" s="48">
        <f t="shared" si="12"/>
        <v>427228.59300000005</v>
      </c>
      <c r="K22" s="48"/>
      <c r="L22" s="48">
        <f t="shared" si="9"/>
        <v>427228.59300000005</v>
      </c>
      <c r="M22" s="49">
        <f t="shared" ref="M22:M23" si="15">F22-L22</f>
        <v>2420962.0270000002</v>
      </c>
      <c r="N22" s="38"/>
      <c r="O22" s="38"/>
    </row>
    <row r="23" spans="1:15">
      <c r="A23" s="50" t="s">
        <v>1196</v>
      </c>
      <c r="B23" s="393">
        <v>0.15</v>
      </c>
      <c r="C23" s="392"/>
      <c r="D23" s="392"/>
      <c r="E23" s="468">
        <v>743906.95</v>
      </c>
      <c r="F23" s="468">
        <f>C23+E23-D23</f>
        <v>743906.95</v>
      </c>
      <c r="G23" s="231">
        <v>743906.95</v>
      </c>
      <c r="H23" s="48"/>
      <c r="I23" s="48"/>
      <c r="J23" s="48">
        <f t="shared" si="12"/>
        <v>111586.0425</v>
      </c>
      <c r="K23" s="48"/>
      <c r="L23" s="48">
        <f t="shared" si="9"/>
        <v>111586.0425</v>
      </c>
      <c r="M23" s="49">
        <f t="shared" si="15"/>
        <v>632320.90749999997</v>
      </c>
      <c r="N23" s="38"/>
      <c r="O23" s="38"/>
    </row>
    <row r="24" spans="1:15">
      <c r="A24" s="1" t="s">
        <v>292</v>
      </c>
      <c r="B24" s="45">
        <v>0.6</v>
      </c>
      <c r="C24" s="234">
        <v>15537993</v>
      </c>
      <c r="D24" s="392">
        <v>74311</v>
      </c>
      <c r="E24" s="46">
        <v>24849305.350000001</v>
      </c>
      <c r="F24" s="468">
        <f>C24+E24-D24</f>
        <v>40312987.350000001</v>
      </c>
      <c r="G24" s="231">
        <v>24921589.350000001</v>
      </c>
      <c r="H24" s="231">
        <f>15441002-49604</f>
        <v>15391398</v>
      </c>
      <c r="I24" s="48"/>
      <c r="J24" s="48">
        <f>+G24*60/100</f>
        <v>14952953.609999999</v>
      </c>
      <c r="K24" s="48">
        <f>+H24*30/100</f>
        <v>4617419.4000000004</v>
      </c>
      <c r="L24" s="48">
        <f>SUM(J24:K24)</f>
        <v>19570373.009999998</v>
      </c>
      <c r="M24" s="49">
        <f>F24-L24</f>
        <v>20742614.340000004</v>
      </c>
      <c r="N24" s="237"/>
      <c r="O24" s="237"/>
    </row>
    <row r="25" spans="1:15" ht="16.2" thickBot="1">
      <c r="A25" s="1"/>
      <c r="B25" s="45"/>
      <c r="C25" s="52">
        <f>SUM(C15:C24)</f>
        <v>294851712</v>
      </c>
      <c r="D25" s="52">
        <f t="shared" ref="D25:L25" si="16">SUM(D15:D24)</f>
        <v>1332549</v>
      </c>
      <c r="E25" s="52">
        <f t="shared" si="16"/>
        <v>735994100.60000014</v>
      </c>
      <c r="F25" s="52">
        <f t="shared" si="16"/>
        <v>1029513263.6000001</v>
      </c>
      <c r="G25" s="52">
        <f t="shared" si="16"/>
        <v>881956637.60000014</v>
      </c>
      <c r="H25" s="52">
        <f t="shared" si="16"/>
        <v>147556626</v>
      </c>
      <c r="I25" s="51">
        <f>SUM(I15:I24)</f>
        <v>0</v>
      </c>
      <c r="J25" s="52">
        <f t="shared" si="16"/>
        <v>142004341.028</v>
      </c>
      <c r="K25" s="52">
        <f t="shared" si="16"/>
        <v>14529811.5</v>
      </c>
      <c r="L25" s="52">
        <f t="shared" si="16"/>
        <v>156534152.51799998</v>
      </c>
      <c r="M25" s="52">
        <f>SUM(M15:M24)</f>
        <v>872979111.08200014</v>
      </c>
      <c r="N25" s="38"/>
      <c r="O25" s="237"/>
    </row>
    <row r="26" spans="1:15" ht="16.2" thickTop="1">
      <c r="A26" s="1" t="s">
        <v>274</v>
      </c>
      <c r="B26" s="45"/>
      <c r="C26" s="155"/>
      <c r="D26" s="155"/>
      <c r="E26" s="155"/>
      <c r="F26" s="43"/>
      <c r="G26" s="42"/>
      <c r="H26" s="42"/>
      <c r="I26" s="42"/>
      <c r="J26" s="42"/>
      <c r="K26" s="42"/>
      <c r="L26" s="42"/>
      <c r="M26" s="44"/>
      <c r="N26" s="38"/>
      <c r="O26" s="237"/>
    </row>
    <row r="27" spans="1:15">
      <c r="A27" s="50" t="s">
        <v>276</v>
      </c>
      <c r="B27" s="45">
        <v>0.6</v>
      </c>
      <c r="C27" s="234">
        <v>4305317</v>
      </c>
      <c r="D27" s="392"/>
      <c r="E27" s="46">
        <v>3527757.29</v>
      </c>
      <c r="F27" s="468">
        <f>C27-D27+E27</f>
        <v>7833074.29</v>
      </c>
      <c r="G27" s="231">
        <v>4501870.29</v>
      </c>
      <c r="H27" s="231">
        <v>3331204</v>
      </c>
      <c r="I27" s="48"/>
      <c r="J27" s="48">
        <f>+G27*60/100</f>
        <v>2701122.1739999996</v>
      </c>
      <c r="K27" s="48">
        <f>+H27*30/100</f>
        <v>999361.2</v>
      </c>
      <c r="L27" s="48">
        <f t="shared" ref="L27:L28" si="17">SUM(J27:K27)</f>
        <v>3700483.3739999998</v>
      </c>
      <c r="M27" s="49">
        <f t="shared" ref="M27:M28" si="18">F27-L27</f>
        <v>4132590.9160000002</v>
      </c>
      <c r="N27" s="237"/>
      <c r="O27" s="237"/>
    </row>
    <row r="28" spans="1:15">
      <c r="A28" s="50" t="s">
        <v>275</v>
      </c>
      <c r="B28" s="45">
        <v>0.6</v>
      </c>
      <c r="C28" s="46"/>
      <c r="D28" s="392">
        <v>0</v>
      </c>
      <c r="E28" s="46">
        <v>296.06</v>
      </c>
      <c r="F28" s="468">
        <f t="shared" ref="F28" si="19">C28-D28+E28</f>
        <v>296.06</v>
      </c>
      <c r="G28" s="235">
        <v>296.06</v>
      </c>
      <c r="H28" s="48"/>
      <c r="I28" s="48"/>
      <c r="J28" s="48">
        <f>+G28*60/100</f>
        <v>177.636</v>
      </c>
      <c r="K28" s="48">
        <f>+H28*30/100</f>
        <v>0</v>
      </c>
      <c r="L28" s="48">
        <f t="shared" si="17"/>
        <v>177.636</v>
      </c>
      <c r="M28" s="49">
        <f t="shared" si="18"/>
        <v>118.42400000000001</v>
      </c>
      <c r="N28" s="237"/>
      <c r="O28" s="237"/>
    </row>
    <row r="29" spans="1:15" ht="16.2" thickBot="1">
      <c r="A29" s="50"/>
      <c r="B29" s="45"/>
      <c r="C29" s="52">
        <f>SUM(C27:C28)</f>
        <v>4305317</v>
      </c>
      <c r="D29" s="52">
        <f t="shared" ref="D29:K29" si="20">SUM(D27:D28)</f>
        <v>0</v>
      </c>
      <c r="E29" s="52">
        <f t="shared" si="20"/>
        <v>3528053.35</v>
      </c>
      <c r="F29" s="52">
        <f t="shared" si="20"/>
        <v>7833370.3499999996</v>
      </c>
      <c r="G29" s="52">
        <f t="shared" si="20"/>
        <v>4502166.3499999996</v>
      </c>
      <c r="H29" s="52">
        <f t="shared" si="20"/>
        <v>3331204</v>
      </c>
      <c r="I29" s="51">
        <f t="shared" ref="I29" si="21">SUM(I19:I28)</f>
        <v>0</v>
      </c>
      <c r="J29" s="52">
        <f t="shared" si="20"/>
        <v>2701299.8099999996</v>
      </c>
      <c r="K29" s="52">
        <f t="shared" si="20"/>
        <v>999361.2</v>
      </c>
      <c r="L29" s="52">
        <f>SUM(L27:L28)</f>
        <v>3700661.01</v>
      </c>
      <c r="M29" s="52">
        <f>SUM(M27:M28)</f>
        <v>4132709.3400000003</v>
      </c>
      <c r="N29" s="38"/>
      <c r="O29" s="237"/>
    </row>
    <row r="30" spans="1:15" ht="16.2" thickTop="1">
      <c r="A30" s="59"/>
      <c r="B30" s="45"/>
      <c r="C30" s="3"/>
      <c r="D30" s="3"/>
      <c r="E30" s="3"/>
      <c r="F30" s="3"/>
      <c r="G30" s="3"/>
      <c r="H30" s="3"/>
      <c r="I30" s="3"/>
      <c r="J30" s="42"/>
      <c r="K30" s="42"/>
      <c r="L30" s="3"/>
      <c r="M30" s="167"/>
      <c r="N30" s="38"/>
      <c r="O30" s="237"/>
    </row>
    <row r="31" spans="1:15">
      <c r="A31" s="1" t="s">
        <v>293</v>
      </c>
      <c r="B31" s="2">
        <v>0.1</v>
      </c>
      <c r="C31" s="46"/>
      <c r="D31" s="392">
        <v>0</v>
      </c>
      <c r="E31" s="46">
        <v>582817.31000000006</v>
      </c>
      <c r="F31" s="468">
        <f>C31-D31+E31</f>
        <v>582817.31000000006</v>
      </c>
      <c r="G31" s="48">
        <v>582817.31000000006</v>
      </c>
      <c r="H31" s="48"/>
      <c r="I31" s="48"/>
      <c r="J31" s="48">
        <f>+G31*10/100</f>
        <v>58281.731000000007</v>
      </c>
      <c r="K31" s="48">
        <f>+H31*5/100</f>
        <v>0</v>
      </c>
      <c r="L31" s="48">
        <f t="shared" ref="L31:L32" si="22">SUM(J31:K31)</f>
        <v>58281.731000000007</v>
      </c>
      <c r="M31" s="49">
        <f t="shared" ref="M31:M35" si="23">F31-L31</f>
        <v>524535.57900000003</v>
      </c>
      <c r="N31" s="237"/>
      <c r="O31" s="237"/>
    </row>
    <row r="32" spans="1:15" s="491" customFormat="1">
      <c r="A32" s="486" t="s">
        <v>1100</v>
      </c>
      <c r="B32" s="487">
        <v>0.8</v>
      </c>
      <c r="C32" s="469"/>
      <c r="D32" s="469"/>
      <c r="E32" s="469">
        <v>1620000</v>
      </c>
      <c r="F32" s="468">
        <f>C32-D32+E32</f>
        <v>1620000</v>
      </c>
      <c r="G32" s="488">
        <v>1620000</v>
      </c>
      <c r="H32" s="488"/>
      <c r="I32" s="488"/>
      <c r="J32" s="488">
        <f>+G32*80/100</f>
        <v>1296000</v>
      </c>
      <c r="K32" s="488">
        <f>+H32*40/100</f>
        <v>0</v>
      </c>
      <c r="L32" s="488">
        <f t="shared" si="22"/>
        <v>1296000</v>
      </c>
      <c r="M32" s="489">
        <f t="shared" si="23"/>
        <v>324000</v>
      </c>
      <c r="N32" s="490"/>
      <c r="O32" s="490"/>
    </row>
    <row r="33" spans="1:15">
      <c r="A33" s="1" t="s">
        <v>270</v>
      </c>
      <c r="B33" s="2"/>
      <c r="C33" s="46"/>
      <c r="D33" s="392"/>
      <c r="E33" s="46"/>
      <c r="F33" s="47"/>
      <c r="G33" s="48"/>
      <c r="H33" s="48"/>
      <c r="I33" s="48"/>
      <c r="J33" s="48"/>
      <c r="K33" s="48"/>
      <c r="L33" s="48"/>
      <c r="M33" s="49"/>
      <c r="N33" s="237"/>
      <c r="O33" s="237"/>
    </row>
    <row r="34" spans="1:15">
      <c r="A34" s="50" t="s">
        <v>276</v>
      </c>
      <c r="B34" s="45">
        <v>0.1</v>
      </c>
      <c r="C34" s="234">
        <v>7410811</v>
      </c>
      <c r="D34" s="392">
        <v>0</v>
      </c>
      <c r="E34" s="392">
        <v>54963938.530000001</v>
      </c>
      <c r="F34" s="468">
        <f>C34-D34+E34</f>
        <v>62374749.530000001</v>
      </c>
      <c r="G34" s="48">
        <v>59156056.530000001</v>
      </c>
      <c r="H34" s="231">
        <v>3218693</v>
      </c>
      <c r="I34" s="48"/>
      <c r="J34" s="48">
        <f>+G34*10/100</f>
        <v>5915605.6529999999</v>
      </c>
      <c r="K34" s="48">
        <f>+H34*5/100</f>
        <v>160934.65</v>
      </c>
      <c r="L34" s="48">
        <f t="shared" ref="L34" si="24">SUM(J34:K34)</f>
        <v>6076540.3030000003</v>
      </c>
      <c r="M34" s="49">
        <f t="shared" si="23"/>
        <v>56298209.226999998</v>
      </c>
      <c r="N34" s="237"/>
      <c r="O34" s="237"/>
    </row>
    <row r="35" spans="1:15">
      <c r="A35" s="50" t="s">
        <v>271</v>
      </c>
      <c r="B35" s="45">
        <v>0.1</v>
      </c>
      <c r="C35" s="46"/>
      <c r="D35" s="392">
        <v>0</v>
      </c>
      <c r="E35" s="469">
        <v>1548895.55</v>
      </c>
      <c r="F35" s="468">
        <f>C35-D35+E35</f>
        <v>1548895.55</v>
      </c>
      <c r="G35" s="48">
        <v>1548895.55</v>
      </c>
      <c r="H35" s="48"/>
      <c r="I35" s="48"/>
      <c r="J35" s="48">
        <f>+G35*10/100</f>
        <v>154889.55499999999</v>
      </c>
      <c r="K35" s="48">
        <f>+H35*5/100</f>
        <v>0</v>
      </c>
      <c r="L35" s="48">
        <f>SUM(J35:K35)</f>
        <v>154889.55499999999</v>
      </c>
      <c r="M35" s="49">
        <f t="shared" si="23"/>
        <v>1394005.9950000001</v>
      </c>
      <c r="N35" s="237"/>
      <c r="O35" s="237"/>
    </row>
    <row r="36" spans="1:15" ht="16.2" thickBot="1">
      <c r="A36" s="50"/>
      <c r="B36" s="45"/>
      <c r="C36" s="52">
        <f>SUM(C31:C35)</f>
        <v>7410811</v>
      </c>
      <c r="D36" s="52">
        <f t="shared" ref="D36:K36" si="25">SUM(D31:D35)</f>
        <v>0</v>
      </c>
      <c r="E36" s="52">
        <f t="shared" si="25"/>
        <v>58715651.390000001</v>
      </c>
      <c r="F36" s="52">
        <f t="shared" si="25"/>
        <v>66126462.390000001</v>
      </c>
      <c r="G36" s="52">
        <f t="shared" si="25"/>
        <v>62907769.390000001</v>
      </c>
      <c r="H36" s="52">
        <f t="shared" si="25"/>
        <v>3218693</v>
      </c>
      <c r="I36" s="51">
        <f t="shared" ref="I36" si="26">SUM(I29:I35)</f>
        <v>0</v>
      </c>
      <c r="J36" s="52">
        <f t="shared" si="25"/>
        <v>7424776.9389999993</v>
      </c>
      <c r="K36" s="52">
        <f t="shared" si="25"/>
        <v>160934.65</v>
      </c>
      <c r="L36" s="52">
        <f>SUM(L31:L35)</f>
        <v>7585711.5889999997</v>
      </c>
      <c r="M36" s="52">
        <f>SUM(M31:M35)</f>
        <v>58540750.800999999</v>
      </c>
      <c r="N36" s="38"/>
      <c r="O36" s="237"/>
    </row>
    <row r="37" spans="1:15" ht="16.2" thickTop="1">
      <c r="A37" s="50"/>
      <c r="B37" s="45"/>
      <c r="C37" s="3"/>
      <c r="D37" s="3"/>
      <c r="E37" s="3"/>
      <c r="F37" s="3"/>
      <c r="G37" s="3"/>
      <c r="H37" s="3"/>
      <c r="I37" s="3"/>
      <c r="J37" s="3"/>
      <c r="K37" s="3"/>
      <c r="L37" s="3"/>
      <c r="M37" s="167"/>
      <c r="N37" s="38"/>
      <c r="O37" s="237"/>
    </row>
    <row r="38" spans="1:15">
      <c r="A38" s="1" t="s">
        <v>566</v>
      </c>
      <c r="B38" s="45">
        <v>0.15</v>
      </c>
      <c r="C38" s="234">
        <v>7710784</v>
      </c>
      <c r="D38" s="392"/>
      <c r="E38" s="46">
        <v>21408825.559999999</v>
      </c>
      <c r="F38" s="468">
        <f>C38-D38+E38</f>
        <v>29119609.559999999</v>
      </c>
      <c r="G38" s="231">
        <v>27349486.559999999</v>
      </c>
      <c r="H38" s="231">
        <v>1770123</v>
      </c>
      <c r="I38" s="48"/>
      <c r="J38" s="48">
        <f>+G38*15/100</f>
        <v>4102422.9839999997</v>
      </c>
      <c r="K38" s="48">
        <f>+H38*7.5/100</f>
        <v>132759.22500000001</v>
      </c>
      <c r="L38" s="48">
        <f t="shared" ref="L38:L42" si="27">SUM(J38:K38)</f>
        <v>4235182.2089999998</v>
      </c>
      <c r="M38" s="49">
        <f>F38-L38</f>
        <v>24884427.351</v>
      </c>
      <c r="N38" s="237"/>
      <c r="O38" s="237"/>
    </row>
    <row r="39" spans="1:15">
      <c r="A39" s="1" t="s">
        <v>294</v>
      </c>
      <c r="B39" s="45">
        <v>0.15</v>
      </c>
      <c r="C39" s="46"/>
      <c r="D39" s="392">
        <v>0</v>
      </c>
      <c r="E39" s="46">
        <v>391899.34</v>
      </c>
      <c r="F39" s="468">
        <f>C39-D39+E39</f>
        <v>391899.34</v>
      </c>
      <c r="G39" s="231">
        <v>391899.34</v>
      </c>
      <c r="H39" s="48"/>
      <c r="I39" s="48"/>
      <c r="J39" s="48">
        <f>+G39*15/100</f>
        <v>58784.901000000005</v>
      </c>
      <c r="K39" s="48">
        <f>+H39*7.5/100</f>
        <v>0</v>
      </c>
      <c r="L39" s="48">
        <f t="shared" si="27"/>
        <v>58784.901000000005</v>
      </c>
      <c r="M39" s="49">
        <f t="shared" ref="M39:M43" si="28">F39-L39</f>
        <v>333114.43900000001</v>
      </c>
      <c r="N39" s="237"/>
      <c r="O39" s="237"/>
    </row>
    <row r="40" spans="1:15">
      <c r="A40" s="1" t="s">
        <v>525</v>
      </c>
      <c r="B40" s="45">
        <v>0.15</v>
      </c>
      <c r="C40" s="46"/>
      <c r="D40" s="392">
        <v>0</v>
      </c>
      <c r="E40" s="46">
        <v>2054920.87</v>
      </c>
      <c r="F40" s="468">
        <f>C40-D40+E40</f>
        <v>2054920.87</v>
      </c>
      <c r="G40" s="48">
        <v>2054920.87</v>
      </c>
      <c r="H40" s="48"/>
      <c r="I40" s="48"/>
      <c r="J40" s="48">
        <f>+G40*15/100</f>
        <v>308238.13050000003</v>
      </c>
      <c r="K40" s="48">
        <f t="shared" ref="K40" si="29">+H40*7.5/100</f>
        <v>0</v>
      </c>
      <c r="L40" s="48">
        <f t="shared" si="27"/>
        <v>308238.13050000003</v>
      </c>
      <c r="M40" s="49">
        <f t="shared" si="28"/>
        <v>1746682.7395000001</v>
      </c>
      <c r="N40" s="237"/>
      <c r="O40" s="237"/>
    </row>
    <row r="41" spans="1:15">
      <c r="A41" s="1" t="s">
        <v>568</v>
      </c>
      <c r="B41" s="45">
        <v>0.1</v>
      </c>
      <c r="C41" s="46"/>
      <c r="D41" s="392">
        <v>0</v>
      </c>
      <c r="E41" s="46">
        <v>15712282.800000001</v>
      </c>
      <c r="F41" s="468">
        <f t="shared" ref="F41:F43" si="30">C41-D41+E41</f>
        <v>15712282.800000001</v>
      </c>
      <c r="G41" s="48">
        <v>15712282.800000001</v>
      </c>
      <c r="H41" s="48"/>
      <c r="I41" s="48"/>
      <c r="J41" s="48">
        <f>+G41*10/100</f>
        <v>1571228.28</v>
      </c>
      <c r="K41" s="48">
        <f>+H41*5/100</f>
        <v>0</v>
      </c>
      <c r="L41" s="48">
        <f t="shared" si="27"/>
        <v>1571228.28</v>
      </c>
      <c r="M41" s="49">
        <f t="shared" si="28"/>
        <v>14141054.520000001</v>
      </c>
      <c r="N41" s="237"/>
      <c r="O41" s="237"/>
    </row>
    <row r="42" spans="1:15" s="157" customFormat="1">
      <c r="A42" s="1" t="s">
        <v>567</v>
      </c>
      <c r="B42" s="45"/>
      <c r="C42" s="46"/>
      <c r="D42" s="392"/>
      <c r="E42" s="46"/>
      <c r="F42" s="47">
        <f t="shared" si="30"/>
        <v>0</v>
      </c>
      <c r="G42" s="48"/>
      <c r="H42" s="48"/>
      <c r="I42" s="48"/>
      <c r="J42" s="48">
        <f>+G42*10/100</f>
        <v>0</v>
      </c>
      <c r="K42" s="48">
        <v>0</v>
      </c>
      <c r="L42" s="48">
        <f t="shared" si="27"/>
        <v>0</v>
      </c>
      <c r="M42" s="49">
        <f t="shared" si="28"/>
        <v>0</v>
      </c>
      <c r="N42" s="237"/>
      <c r="O42" s="237"/>
    </row>
    <row r="43" spans="1:15">
      <c r="A43" s="1" t="s">
        <v>1099</v>
      </c>
      <c r="B43" s="45">
        <v>0.15</v>
      </c>
      <c r="C43" s="48"/>
      <c r="D43" s="392"/>
      <c r="E43" s="468">
        <v>4864504.6900000004</v>
      </c>
      <c r="F43" s="468">
        <f t="shared" si="30"/>
        <v>4864504.6900000004</v>
      </c>
      <c r="G43" s="231">
        <v>4864504.6900000004</v>
      </c>
      <c r="H43" s="48"/>
      <c r="I43" s="48"/>
      <c r="J43" s="48">
        <f>+G43*15/100</f>
        <v>729675.70350000006</v>
      </c>
      <c r="K43" s="48">
        <f t="shared" ref="K43" si="31">+H43*7.5/100</f>
        <v>0</v>
      </c>
      <c r="L43" s="48">
        <f>SUM(J43:K43)+0.01</f>
        <v>729675.71350000007</v>
      </c>
      <c r="M43" s="49">
        <f t="shared" si="28"/>
        <v>4134828.9765000003</v>
      </c>
      <c r="N43" s="237"/>
      <c r="O43" s="237"/>
    </row>
    <row r="44" spans="1:15" ht="16.2" thickBot="1">
      <c r="A44" s="50"/>
      <c r="B44" s="158"/>
      <c r="C44" s="156">
        <f>SUM(C38:C43)</f>
        <v>7710784</v>
      </c>
      <c r="D44" s="156">
        <f t="shared" ref="D44:L44" si="32">SUM(D38:D43)</f>
        <v>0</v>
      </c>
      <c r="E44" s="156">
        <f>SUM(E38:E43)</f>
        <v>44432433.259999998</v>
      </c>
      <c r="F44" s="156">
        <f t="shared" si="32"/>
        <v>52143217.259999998</v>
      </c>
      <c r="G44" s="156">
        <f t="shared" si="32"/>
        <v>50373094.259999998</v>
      </c>
      <c r="H44" s="156">
        <f t="shared" si="32"/>
        <v>1770123</v>
      </c>
      <c r="I44" s="51">
        <f t="shared" ref="I44" si="33">SUM(I37:I43)</f>
        <v>0</v>
      </c>
      <c r="J44" s="156">
        <f t="shared" si="32"/>
        <v>6770349.9989999998</v>
      </c>
      <c r="K44" s="156">
        <f t="shared" si="32"/>
        <v>132759.22500000001</v>
      </c>
      <c r="L44" s="156">
        <f t="shared" si="32"/>
        <v>6903109.2339999992</v>
      </c>
      <c r="M44" s="156">
        <f>SUM(M38:M43)</f>
        <v>45240108.026000001</v>
      </c>
      <c r="N44" s="38"/>
      <c r="O44" s="237"/>
    </row>
    <row r="45" spans="1:15" ht="16.8" thickTop="1" thickBot="1">
      <c r="A45" s="159"/>
      <c r="B45" s="160"/>
      <c r="C45" s="162"/>
      <c r="D45" s="163"/>
      <c r="E45" s="164"/>
      <c r="F45" s="165"/>
      <c r="G45" s="163"/>
      <c r="H45" s="163"/>
      <c r="I45" s="163"/>
      <c r="J45" s="162"/>
      <c r="K45" s="162"/>
      <c r="L45" s="162"/>
      <c r="M45" s="166"/>
      <c r="N45" s="38"/>
      <c r="O45" s="38"/>
    </row>
    <row r="46" spans="1:15" ht="19.2">
      <c r="A46" s="241" t="s">
        <v>298</v>
      </c>
      <c r="C46" s="492">
        <f>C13+C25+C29+C36+C44</f>
        <v>333196609</v>
      </c>
      <c r="D46" s="39">
        <f t="shared" ref="D46:K46" si="34">D13+D25+D29+D36+D44</f>
        <v>1332549</v>
      </c>
      <c r="E46" s="492">
        <f t="shared" si="34"/>
        <v>2070328893.53</v>
      </c>
      <c r="F46" s="492">
        <f t="shared" si="34"/>
        <v>2402192953.5299997</v>
      </c>
      <c r="G46" s="492">
        <f>G13+G25+G29+G36+G44</f>
        <v>2229062095.5300002</v>
      </c>
      <c r="H46" s="492">
        <f>H13+H25+H29+H36+H44</f>
        <v>173130858</v>
      </c>
      <c r="I46" s="39">
        <f t="shared" si="34"/>
        <v>0</v>
      </c>
      <c r="J46" s="39">
        <f t="shared" si="34"/>
        <v>284379950.35514563</v>
      </c>
      <c r="K46" s="39">
        <f t="shared" si="34"/>
        <v>16685577.174999999</v>
      </c>
      <c r="L46" s="39">
        <f>L13+L25+L29+L36+L44</f>
        <v>301065526.8301456</v>
      </c>
      <c r="M46" s="39">
        <f>M13+M25+M29+M36+M44</f>
        <v>2101127426.7098541</v>
      </c>
      <c r="N46" s="39"/>
      <c r="O46" s="38"/>
    </row>
    <row r="47" spans="1:15">
      <c r="C47" s="38">
        <v>334409182</v>
      </c>
      <c r="E47" s="38"/>
      <c r="F47" s="38"/>
      <c r="G47" s="38">
        <f>2229062095.53</f>
        <v>2229062095.5300002</v>
      </c>
      <c r="H47" s="38">
        <v>174276555</v>
      </c>
      <c r="L47" s="39"/>
      <c r="M47" s="39"/>
    </row>
    <row r="48" spans="1:15">
      <c r="C48" s="38">
        <f>C47-C46</f>
        <v>1212573</v>
      </c>
      <c r="F48" s="38">
        <v>2101287398.21</v>
      </c>
      <c r="G48" s="38">
        <f>G46-G47</f>
        <v>0</v>
      </c>
      <c r="H48" s="38">
        <f>H46-H47</f>
        <v>-1145697</v>
      </c>
      <c r="I48" s="38"/>
      <c r="J48" s="38"/>
      <c r="L48" s="38"/>
      <c r="M48" s="38"/>
      <c r="N48" s="38"/>
    </row>
    <row r="49" spans="1:12">
      <c r="C49" s="38">
        <v>1218506</v>
      </c>
      <c r="E49" s="38"/>
      <c r="F49" s="38">
        <v>300905555.31999999</v>
      </c>
      <c r="G49" s="54"/>
      <c r="H49" s="38"/>
      <c r="I49" s="38"/>
      <c r="J49" s="38"/>
      <c r="L49" s="38"/>
    </row>
    <row r="50" spans="1:12">
      <c r="C50" s="38">
        <f>C49-C48</f>
        <v>5933</v>
      </c>
      <c r="F50" s="38">
        <v>2391176538.5300002</v>
      </c>
      <c r="G50" s="54"/>
      <c r="H50" s="390">
        <v>26493887</v>
      </c>
      <c r="I50" s="38">
        <f>H50*10/100</f>
        <v>2649388.7000000002</v>
      </c>
      <c r="L50" s="38"/>
    </row>
    <row r="51" spans="1:12">
      <c r="E51" s="38"/>
      <c r="F51" s="38">
        <f>F50-F46</f>
        <v>-11016414.999999523</v>
      </c>
      <c r="H51" s="38"/>
      <c r="I51" s="38"/>
    </row>
    <row r="52" spans="1:12">
      <c r="E52" s="65"/>
      <c r="G52" s="38"/>
      <c r="L52" s="38"/>
    </row>
    <row r="53" spans="1:12">
      <c r="E53" s="57"/>
      <c r="F53" s="39"/>
      <c r="G53" s="38"/>
    </row>
    <row r="54" spans="1:12">
      <c r="E54" s="57"/>
    </row>
    <row r="55" spans="1:12">
      <c r="F55" s="39"/>
    </row>
    <row r="56" spans="1:12">
      <c r="A56" s="471" t="s">
        <v>1438</v>
      </c>
    </row>
  </sheetData>
  <mergeCells count="14">
    <mergeCell ref="A1:C1"/>
    <mergeCell ref="A2:E2"/>
    <mergeCell ref="M3:M4"/>
    <mergeCell ref="E3:E4"/>
    <mergeCell ref="B3:B4"/>
    <mergeCell ref="A3:A4"/>
    <mergeCell ref="L3:L4"/>
    <mergeCell ref="J3:K3"/>
    <mergeCell ref="G3:G4"/>
    <mergeCell ref="H3:H4"/>
    <mergeCell ref="C3:C4"/>
    <mergeCell ref="F3:F4"/>
    <mergeCell ref="D3:D4"/>
    <mergeCell ref="I3:I4"/>
  </mergeCells>
  <phoneticPr fontId="0" type="noConversion"/>
  <printOptions horizontalCentered="1"/>
  <pageMargins left="0.16" right="0" top="0.15748031496062992" bottom="0.15748031496062992" header="0.15748031496062992" footer="0"/>
  <pageSetup paperSize="9" scale="80" orientation="landscape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R47"/>
  <sheetViews>
    <sheetView topLeftCell="D1" workbookViewId="0">
      <selection activeCell="N14" sqref="N14"/>
    </sheetView>
  </sheetViews>
  <sheetFormatPr defaultColWidth="9.109375" defaultRowHeight="13.2"/>
  <cols>
    <col min="1" max="1" width="52.5546875" style="5" bestFit="1" customWidth="1"/>
    <col min="2" max="2" width="15" style="5" customWidth="1"/>
    <col min="3" max="3" width="13.88671875" style="5" customWidth="1"/>
    <col min="4" max="4" width="11" style="5" customWidth="1"/>
    <col min="5" max="5" width="15" style="5" customWidth="1"/>
    <col min="6" max="6" width="14.5546875" style="5" customWidth="1"/>
    <col min="7" max="7" width="14.33203125" style="5" bestFit="1" customWidth="1"/>
    <col min="8" max="8" width="12.44140625" style="5" customWidth="1"/>
    <col min="9" max="9" width="13.88671875" style="5" customWidth="1"/>
    <col min="10" max="10" width="15.33203125" style="5" customWidth="1"/>
    <col min="11" max="11" width="15" style="5" customWidth="1"/>
    <col min="12" max="12" width="1.6640625" style="5" bestFit="1" customWidth="1"/>
    <col min="13" max="13" width="16.88671875" style="5" bestFit="1" customWidth="1"/>
    <col min="14" max="16" width="9.109375" style="5"/>
    <col min="17" max="17" width="13.109375" style="5" bestFit="1" customWidth="1"/>
    <col min="18" max="18" width="11.33203125" style="5" bestFit="1" customWidth="1"/>
    <col min="19" max="16384" width="9.109375" style="5"/>
  </cols>
  <sheetData>
    <row r="1" spans="1:18" ht="15.75" customHeight="1">
      <c r="A1" s="691" t="s">
        <v>92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</row>
    <row r="2" spans="1:18">
      <c r="A2" s="4"/>
      <c r="B2" s="4"/>
      <c r="C2" s="4"/>
      <c r="D2" s="4"/>
      <c r="E2" s="4"/>
      <c r="F2" s="6"/>
      <c r="G2" s="6"/>
      <c r="H2" s="6"/>
      <c r="I2" s="6"/>
      <c r="J2" s="6"/>
      <c r="K2" s="6"/>
    </row>
    <row r="3" spans="1:18" ht="15.75" customHeight="1">
      <c r="A3" s="692" t="s">
        <v>466</v>
      </c>
      <c r="B3" s="692"/>
      <c r="C3" s="692"/>
      <c r="D3" s="692"/>
      <c r="E3" s="692"/>
      <c r="F3" s="692"/>
      <c r="G3" s="692"/>
      <c r="H3" s="692"/>
      <c r="I3" s="692"/>
      <c r="J3" s="692"/>
      <c r="K3" s="692"/>
    </row>
    <row r="4" spans="1:18" ht="15.75" customHeight="1">
      <c r="A4" s="16"/>
      <c r="B4" s="16"/>
      <c r="C4" s="16"/>
      <c r="D4" s="16"/>
      <c r="E4" s="16"/>
      <c r="F4" s="16"/>
      <c r="G4" s="16"/>
      <c r="H4" s="16"/>
      <c r="I4" s="16"/>
      <c r="J4" s="692" t="s">
        <v>264</v>
      </c>
      <c r="K4" s="692"/>
    </row>
    <row r="5" spans="1:18">
      <c r="A5" s="14" t="s">
        <v>127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8">
      <c r="A6" s="8" t="s">
        <v>128</v>
      </c>
      <c r="B6" s="693" t="s">
        <v>130</v>
      </c>
      <c r="C6" s="693"/>
      <c r="D6" s="693"/>
      <c r="E6" s="693"/>
      <c r="F6" s="693" t="s">
        <v>131</v>
      </c>
      <c r="G6" s="693"/>
      <c r="H6" s="693"/>
      <c r="I6" s="693"/>
      <c r="J6" s="693" t="s">
        <v>132</v>
      </c>
      <c r="K6" s="693"/>
    </row>
    <row r="7" spans="1:18" s="7" customFormat="1" ht="52.8">
      <c r="A7" s="10"/>
      <c r="B7" s="24" t="s">
        <v>254</v>
      </c>
      <c r="C7" s="24" t="s">
        <v>358</v>
      </c>
      <c r="D7" s="24" t="s">
        <v>359</v>
      </c>
      <c r="E7" s="24" t="s">
        <v>360</v>
      </c>
      <c r="F7" s="24" t="s">
        <v>129</v>
      </c>
      <c r="G7" s="24" t="s">
        <v>438</v>
      </c>
      <c r="H7" s="24" t="s">
        <v>361</v>
      </c>
      <c r="I7" s="24" t="s">
        <v>362</v>
      </c>
      <c r="J7" s="24" t="s">
        <v>363</v>
      </c>
      <c r="K7" s="24" t="s">
        <v>364</v>
      </c>
      <c r="M7" s="7" t="s">
        <v>201</v>
      </c>
      <c r="N7" s="7" t="s">
        <v>202</v>
      </c>
      <c r="O7" s="7">
        <v>100</v>
      </c>
      <c r="P7" s="7">
        <v>50</v>
      </c>
      <c r="Q7" s="7" t="s">
        <v>204</v>
      </c>
    </row>
    <row r="8" spans="1:18">
      <c r="A8" s="8" t="s">
        <v>133</v>
      </c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8">
      <c r="A9" s="9" t="s">
        <v>134</v>
      </c>
      <c r="B9" s="17"/>
      <c r="C9" s="17"/>
      <c r="D9" s="11"/>
      <c r="E9" s="17"/>
      <c r="F9" s="11"/>
      <c r="G9" s="11"/>
      <c r="H9" s="17"/>
      <c r="I9" s="17"/>
      <c r="J9" s="17"/>
      <c r="K9" s="17"/>
    </row>
    <row r="10" spans="1:18">
      <c r="A10" s="25" t="s">
        <v>93</v>
      </c>
      <c r="B10" s="11">
        <v>19036971</v>
      </c>
      <c r="C10" s="26">
        <v>0</v>
      </c>
      <c r="D10" s="26">
        <v>0</v>
      </c>
      <c r="E10" s="17">
        <f>B10+C10-D10</f>
        <v>19036971</v>
      </c>
      <c r="F10" s="26">
        <v>0</v>
      </c>
      <c r="G10" s="26">
        <f>+Q10</f>
        <v>0</v>
      </c>
      <c r="H10" s="26">
        <v>0</v>
      </c>
      <c r="I10" s="26">
        <v>0</v>
      </c>
      <c r="J10" s="17">
        <f>E10-I10</f>
        <v>19036971</v>
      </c>
      <c r="K10" s="17">
        <v>19036971</v>
      </c>
      <c r="M10" s="55">
        <f>+B10-F10</f>
        <v>19036971</v>
      </c>
      <c r="Q10" s="5">
        <f>+N10+O10+P10</f>
        <v>0</v>
      </c>
    </row>
    <row r="11" spans="1:18">
      <c r="A11" s="9" t="s">
        <v>94</v>
      </c>
      <c r="B11" s="26">
        <v>0</v>
      </c>
      <c r="C11" s="26">
        <v>0</v>
      </c>
      <c r="D11" s="26">
        <v>0</v>
      </c>
      <c r="E11" s="27">
        <f t="shared" ref="E11:E31" si="0">B11+C11-D11</f>
        <v>0</v>
      </c>
      <c r="F11" s="26">
        <v>0</v>
      </c>
      <c r="G11" s="26"/>
      <c r="H11" s="26">
        <v>0</v>
      </c>
      <c r="I11" s="26">
        <v>0</v>
      </c>
      <c r="J11" s="27">
        <f t="shared" ref="J11:J31" si="1">E11-I11</f>
        <v>0</v>
      </c>
      <c r="K11" s="28">
        <v>0</v>
      </c>
      <c r="M11" s="55"/>
    </row>
    <row r="12" spans="1:18">
      <c r="A12" s="9" t="s">
        <v>135</v>
      </c>
      <c r="B12" s="26"/>
      <c r="C12" s="26"/>
      <c r="D12" s="26"/>
      <c r="E12" s="27"/>
      <c r="F12" s="26"/>
      <c r="G12" s="26"/>
      <c r="H12" s="26"/>
      <c r="I12" s="17"/>
      <c r="J12" s="17"/>
      <c r="K12" s="17"/>
      <c r="M12" s="55"/>
    </row>
    <row r="13" spans="1:18">
      <c r="A13" s="9" t="s">
        <v>95</v>
      </c>
      <c r="B13" s="26">
        <v>0</v>
      </c>
      <c r="C13" s="26">
        <v>0</v>
      </c>
      <c r="D13" s="26">
        <v>0</v>
      </c>
      <c r="E13" s="27">
        <f t="shared" si="0"/>
        <v>0</v>
      </c>
      <c r="F13" s="26">
        <v>0</v>
      </c>
      <c r="G13" s="26"/>
      <c r="H13" s="26">
        <v>0</v>
      </c>
      <c r="I13" s="28">
        <v>0</v>
      </c>
      <c r="J13" s="27">
        <f t="shared" si="1"/>
        <v>0</v>
      </c>
      <c r="K13" s="28">
        <v>0</v>
      </c>
      <c r="M13" s="55"/>
    </row>
    <row r="14" spans="1:18">
      <c r="A14" s="9" t="s">
        <v>96</v>
      </c>
      <c r="B14" s="11">
        <v>20656240.809999999</v>
      </c>
      <c r="C14" s="26">
        <v>0</v>
      </c>
      <c r="D14" s="26">
        <v>0</v>
      </c>
      <c r="E14" s="17">
        <f t="shared" si="0"/>
        <v>20656240.809999999</v>
      </c>
      <c r="F14" s="11">
        <v>12384181.951000001</v>
      </c>
      <c r="G14" s="11">
        <v>827205.9</v>
      </c>
      <c r="H14" s="26">
        <v>0</v>
      </c>
      <c r="I14" s="17">
        <f>F14+G14-H14</f>
        <v>13211387.851000002</v>
      </c>
      <c r="J14" s="17">
        <f>E14-I14</f>
        <v>7444852.958999997</v>
      </c>
      <c r="K14" s="17">
        <v>9191176.5099999998</v>
      </c>
      <c r="M14" s="55">
        <f>+B14-F14</f>
        <v>8272058.8589999974</v>
      </c>
      <c r="N14" s="5">
        <f>+M14*0.1</f>
        <v>827205.88589999976</v>
      </c>
      <c r="Q14" s="5">
        <f>+N14+O14+P14</f>
        <v>827205.88589999976</v>
      </c>
      <c r="R14" s="13">
        <f>+Q14-G14</f>
        <v>-1.4100000262260437E-2</v>
      </c>
    </row>
    <row r="15" spans="1:18">
      <c r="A15" s="9" t="s">
        <v>97</v>
      </c>
      <c r="B15" s="11"/>
      <c r="C15" s="26">
        <v>0</v>
      </c>
      <c r="D15" s="26">
        <v>0</v>
      </c>
      <c r="E15" s="27">
        <v>0</v>
      </c>
      <c r="F15" s="26">
        <v>0</v>
      </c>
      <c r="G15" s="11"/>
      <c r="H15" s="26">
        <v>0</v>
      </c>
      <c r="I15" s="27">
        <f t="shared" ref="I15:I31" si="2">F15+G15-H15</f>
        <v>0</v>
      </c>
      <c r="J15" s="27">
        <f t="shared" si="1"/>
        <v>0</v>
      </c>
      <c r="K15" s="28">
        <v>0</v>
      </c>
      <c r="M15" s="55">
        <f>+E15-I15</f>
        <v>0</v>
      </c>
    </row>
    <row r="16" spans="1:18">
      <c r="A16" s="9" t="s">
        <v>98</v>
      </c>
      <c r="B16" s="11">
        <v>10344022.4</v>
      </c>
      <c r="C16" s="26">
        <v>0</v>
      </c>
      <c r="D16" s="26">
        <v>0</v>
      </c>
      <c r="E16" s="17">
        <f t="shared" si="0"/>
        <v>10344022.4</v>
      </c>
      <c r="F16" s="11">
        <v>4669521.68</v>
      </c>
      <c r="G16" s="11">
        <v>567450.1</v>
      </c>
      <c r="H16" s="26">
        <v>0</v>
      </c>
      <c r="I16" s="17">
        <f t="shared" si="2"/>
        <v>5236971.7799999993</v>
      </c>
      <c r="J16" s="17">
        <f>E16-I16</f>
        <v>5107050.620000001</v>
      </c>
      <c r="K16" s="17">
        <v>6305000.8099999996</v>
      </c>
      <c r="M16" s="55">
        <f>+B16-F16</f>
        <v>5674500.7200000007</v>
      </c>
      <c r="N16" s="5">
        <f>+M16*0.1</f>
        <v>567450.07200000004</v>
      </c>
      <c r="Q16" s="5">
        <f>+N16+O16+P16</f>
        <v>567450.07200000004</v>
      </c>
      <c r="R16" s="13">
        <f t="shared" ref="R16:R33" si="3">+Q16-G16</f>
        <v>-2.7999999932944775E-2</v>
      </c>
    </row>
    <row r="17" spans="1:18">
      <c r="A17" s="9" t="s">
        <v>99</v>
      </c>
      <c r="B17" s="11"/>
      <c r="C17" s="11"/>
      <c r="D17" s="26"/>
      <c r="E17" s="17"/>
      <c r="F17" s="11"/>
      <c r="G17" s="11"/>
      <c r="H17" s="26"/>
      <c r="I17" s="27"/>
      <c r="J17" s="27"/>
      <c r="K17" s="19"/>
      <c r="M17" s="55">
        <f>+E17-I17</f>
        <v>0</v>
      </c>
      <c r="R17" s="13">
        <f t="shared" si="3"/>
        <v>0</v>
      </c>
    </row>
    <row r="18" spans="1:18">
      <c r="A18" s="9" t="s">
        <v>29</v>
      </c>
      <c r="B18" s="11">
        <v>16617718</v>
      </c>
      <c r="C18" s="11">
        <v>3952867</v>
      </c>
      <c r="D18" s="26">
        <v>0</v>
      </c>
      <c r="E18" s="17">
        <f t="shared" si="0"/>
        <v>20570585</v>
      </c>
      <c r="F18" s="11">
        <v>1309132.0150000001</v>
      </c>
      <c r="G18" s="11">
        <v>1749128.5490000001</v>
      </c>
      <c r="H18" s="26">
        <v>0</v>
      </c>
      <c r="I18" s="17">
        <f t="shared" si="2"/>
        <v>3058260.5640000002</v>
      </c>
      <c r="J18" s="17">
        <f t="shared" si="1"/>
        <v>17512324.436000001</v>
      </c>
      <c r="K18" s="11">
        <v>3840670.65</v>
      </c>
      <c r="M18" s="55">
        <f>+B18-F18</f>
        <v>15308585.984999999</v>
      </c>
      <c r="N18" s="5">
        <f>+M18*0.1</f>
        <v>1530858.5985000001</v>
      </c>
      <c r="O18" s="5">
        <f>412532*0.1</f>
        <v>41253.200000000004</v>
      </c>
      <c r="P18" s="5">
        <f>3540335*0.1/2</f>
        <v>177016.75</v>
      </c>
      <c r="Q18" s="5">
        <f>+N18+O18+P18</f>
        <v>1749128.5485</v>
      </c>
      <c r="R18" s="13">
        <f t="shared" si="3"/>
        <v>-5.0000008195638657E-4</v>
      </c>
    </row>
    <row r="19" spans="1:18">
      <c r="A19" s="9" t="s">
        <v>344</v>
      </c>
      <c r="B19" s="11"/>
      <c r="C19" s="11">
        <v>9065964</v>
      </c>
      <c r="D19" s="26"/>
      <c r="E19" s="17">
        <f t="shared" si="0"/>
        <v>9065964</v>
      </c>
      <c r="F19" s="11"/>
      <c r="G19" s="11">
        <v>906596.4</v>
      </c>
      <c r="H19" s="26"/>
      <c r="I19" s="17">
        <f t="shared" si="2"/>
        <v>906596.4</v>
      </c>
      <c r="J19" s="17">
        <f t="shared" si="1"/>
        <v>8159367.5999999996</v>
      </c>
      <c r="K19" s="11"/>
      <c r="M19" s="55"/>
      <c r="R19" s="13"/>
    </row>
    <row r="20" spans="1:18">
      <c r="A20" s="9" t="s">
        <v>100</v>
      </c>
      <c r="B20" s="17"/>
      <c r="C20" s="17"/>
      <c r="D20" s="26"/>
      <c r="E20" s="17"/>
      <c r="F20" s="26"/>
      <c r="G20" s="11"/>
      <c r="H20" s="26"/>
      <c r="I20" s="27"/>
      <c r="J20" s="27"/>
      <c r="K20" s="17"/>
      <c r="M20" s="55">
        <f>+E20-I20</f>
        <v>0</v>
      </c>
      <c r="R20" s="13">
        <f t="shared" si="3"/>
        <v>0</v>
      </c>
    </row>
    <row r="21" spans="1:18">
      <c r="A21" s="9" t="s">
        <v>465</v>
      </c>
      <c r="B21" s="17">
        <v>7775083.3799999999</v>
      </c>
      <c r="C21" s="17">
        <v>5667</v>
      </c>
      <c r="D21" s="26">
        <v>0</v>
      </c>
      <c r="E21" s="17">
        <f t="shared" si="0"/>
        <v>7780750.3799999999</v>
      </c>
      <c r="F21" s="11">
        <v>3558503.4940000004</v>
      </c>
      <c r="G21" s="11">
        <v>633337.03289999999</v>
      </c>
      <c r="H21" s="26">
        <v>0</v>
      </c>
      <c r="I21" s="17">
        <f t="shared" si="2"/>
        <v>4191840.5269000004</v>
      </c>
      <c r="J21" s="17">
        <f t="shared" si="1"/>
        <v>3588909.8530999995</v>
      </c>
      <c r="K21" s="17">
        <v>3285013.16</v>
      </c>
      <c r="M21" s="55">
        <f t="shared" ref="M21:M28" si="4">+B21-F21</f>
        <v>4216579.8859999999</v>
      </c>
      <c r="N21" s="5">
        <f>+M21*0.15</f>
        <v>632486.98289999994</v>
      </c>
      <c r="O21" s="5">
        <f>5667*0.15</f>
        <v>850.05</v>
      </c>
      <c r="Q21" s="5">
        <f t="shared" ref="Q21:Q28" si="5">+N21+O21+P21</f>
        <v>633337.03289999999</v>
      </c>
      <c r="R21" s="13">
        <f t="shared" si="3"/>
        <v>0</v>
      </c>
    </row>
    <row r="22" spans="1:18">
      <c r="A22" s="9" t="s">
        <v>240</v>
      </c>
      <c r="B22" s="17">
        <v>70891612.24000001</v>
      </c>
      <c r="C22" s="11">
        <v>8194726</v>
      </c>
      <c r="D22" s="26">
        <v>0</v>
      </c>
      <c r="E22" s="17">
        <f t="shared" si="0"/>
        <v>79086338.24000001</v>
      </c>
      <c r="F22" s="11">
        <v>14590018.859000001</v>
      </c>
      <c r="G22" s="11">
        <v>6275186.2879999997</v>
      </c>
      <c r="H22" s="26">
        <v>0</v>
      </c>
      <c r="I22" s="17">
        <f t="shared" si="2"/>
        <v>20865205.147</v>
      </c>
      <c r="J22" s="17">
        <f t="shared" si="1"/>
        <v>58221133.09300001</v>
      </c>
      <c r="K22" s="17">
        <v>39183481.090000004</v>
      </c>
      <c r="M22" s="55">
        <f t="shared" si="4"/>
        <v>56301593.381000012</v>
      </c>
      <c r="N22" s="5">
        <f>+M22*0.1</f>
        <v>5630159.3381000012</v>
      </c>
      <c r="O22" s="5">
        <f>4705813*0.1</f>
        <v>470581.30000000005</v>
      </c>
      <c r="P22" s="5">
        <f>3488913*0.1/2</f>
        <v>174445.65000000002</v>
      </c>
      <c r="Q22" s="5">
        <f t="shared" si="5"/>
        <v>6275186.2881000014</v>
      </c>
      <c r="R22" s="13">
        <f t="shared" si="3"/>
        <v>1.0000169277191162E-4</v>
      </c>
    </row>
    <row r="23" spans="1:18">
      <c r="A23" s="9" t="s">
        <v>137</v>
      </c>
      <c r="B23" s="17">
        <v>21124784.280000001</v>
      </c>
      <c r="C23" s="11">
        <v>3920214</v>
      </c>
      <c r="D23" s="26">
        <v>0</v>
      </c>
      <c r="E23" s="17">
        <f t="shared" si="0"/>
        <v>25044998.280000001</v>
      </c>
      <c r="F23" s="11">
        <v>7370871.176</v>
      </c>
      <c r="G23" s="11">
        <v>2394672.2409999999</v>
      </c>
      <c r="H23" s="26">
        <v>0</v>
      </c>
      <c r="I23" s="17">
        <f t="shared" si="2"/>
        <v>9765543.4169999994</v>
      </c>
      <c r="J23" s="17">
        <f t="shared" si="1"/>
        <v>15279454.863000002</v>
      </c>
      <c r="K23" s="17">
        <v>9837367.2400000002</v>
      </c>
      <c r="M23" s="55">
        <f t="shared" si="4"/>
        <v>13753913.104000002</v>
      </c>
      <c r="N23" s="5">
        <f>+M23*0.15</f>
        <v>2063086.9656000002</v>
      </c>
      <c r="O23" s="5">
        <f>500923*0.15</f>
        <v>75138.45</v>
      </c>
      <c r="P23" s="5">
        <f>3419291*0.15/2</f>
        <v>256446.82499999998</v>
      </c>
      <c r="Q23" s="5">
        <f t="shared" si="5"/>
        <v>2394672.2406000006</v>
      </c>
      <c r="R23" s="13">
        <f t="shared" si="3"/>
        <v>-3.9999932050704956E-4</v>
      </c>
    </row>
    <row r="24" spans="1:18">
      <c r="A24" s="9" t="s">
        <v>138</v>
      </c>
      <c r="B24" s="11">
        <v>10167689</v>
      </c>
      <c r="C24" s="11">
        <v>1664254</v>
      </c>
      <c r="D24" s="26">
        <v>0</v>
      </c>
      <c r="E24" s="17">
        <f>B24+C24-D24</f>
        <v>11831943</v>
      </c>
      <c r="F24" s="11">
        <v>5013986.1720000003</v>
      </c>
      <c r="G24" s="11">
        <v>3656112.1970000002</v>
      </c>
      <c r="H24" s="26">
        <v>0</v>
      </c>
      <c r="I24" s="17">
        <f t="shared" si="2"/>
        <v>8670098.3690000009</v>
      </c>
      <c r="J24" s="17">
        <f t="shared" si="1"/>
        <v>3161844.6309999991</v>
      </c>
      <c r="K24" s="11">
        <v>1401484.82</v>
      </c>
      <c r="M24" s="55">
        <f t="shared" si="4"/>
        <v>5153702.8279999997</v>
      </c>
      <c r="N24" s="5">
        <f>+M24*0.6</f>
        <v>3092221.6967999996</v>
      </c>
      <c r="O24" s="5">
        <f>215381*0.6</f>
        <v>129228.59999999999</v>
      </c>
      <c r="P24" s="5">
        <f>1448873*0.6/2</f>
        <v>434661.89999999997</v>
      </c>
      <c r="Q24" s="5">
        <f t="shared" si="5"/>
        <v>3656112.1967999996</v>
      </c>
      <c r="R24" s="13">
        <f t="shared" si="3"/>
        <v>-2.000005915760994E-4</v>
      </c>
    </row>
    <row r="25" spans="1:18">
      <c r="A25" s="9" t="s">
        <v>139</v>
      </c>
      <c r="B25" s="17">
        <v>848412</v>
      </c>
      <c r="C25" s="11"/>
      <c r="D25" s="26">
        <v>0</v>
      </c>
      <c r="E25" s="17">
        <f t="shared" si="0"/>
        <v>848412</v>
      </c>
      <c r="F25" s="11">
        <v>144627.66</v>
      </c>
      <c r="G25" s="11">
        <v>70378.429999999993</v>
      </c>
      <c r="H25" s="26">
        <v>0</v>
      </c>
      <c r="I25" s="17">
        <f t="shared" si="2"/>
        <v>215006.09</v>
      </c>
      <c r="J25" s="17">
        <f t="shared" si="1"/>
        <v>633405.91</v>
      </c>
      <c r="K25" s="11">
        <v>597864.6</v>
      </c>
      <c r="M25" s="55">
        <f t="shared" si="4"/>
        <v>703784.34</v>
      </c>
      <c r="N25" s="5">
        <f>+M25*0.1</f>
        <v>70378.433999999994</v>
      </c>
      <c r="Q25" s="5">
        <f t="shared" si="5"/>
        <v>70378.433999999994</v>
      </c>
      <c r="R25" s="13">
        <f t="shared" si="3"/>
        <v>4.0000000008149073E-3</v>
      </c>
    </row>
    <row r="26" spans="1:18">
      <c r="A26" s="9" t="s">
        <v>249</v>
      </c>
      <c r="B26" s="17">
        <v>34577774.560000002</v>
      </c>
      <c r="C26" s="11">
        <v>3154474</v>
      </c>
      <c r="D26" s="26">
        <v>0</v>
      </c>
      <c r="E26" s="17">
        <f t="shared" si="0"/>
        <v>37732248.560000002</v>
      </c>
      <c r="F26" s="11">
        <v>21224636.344000001</v>
      </c>
      <c r="G26" s="11">
        <v>9212261.2300000004</v>
      </c>
      <c r="H26" s="26">
        <v>0</v>
      </c>
      <c r="I26" s="17">
        <f t="shared" si="2"/>
        <v>30436897.574000001</v>
      </c>
      <c r="J26" s="17">
        <f t="shared" si="1"/>
        <v>7295350.9860000014</v>
      </c>
      <c r="K26" s="17">
        <v>7909187.54</v>
      </c>
      <c r="M26" s="55">
        <f t="shared" si="4"/>
        <v>13353138.216000002</v>
      </c>
      <c r="N26" s="5">
        <f>+M26*0.6</f>
        <v>8011882.9296000004</v>
      </c>
      <c r="O26" s="5">
        <f>846787*0.6</f>
        <v>508072.19999999995</v>
      </c>
      <c r="P26" s="5">
        <f>2307687*0.6/2</f>
        <v>692306.1</v>
      </c>
      <c r="Q26" s="5">
        <f t="shared" si="5"/>
        <v>9212261.2295999993</v>
      </c>
      <c r="R26" s="13">
        <f t="shared" si="3"/>
        <v>-4.0000118315219879E-4</v>
      </c>
    </row>
    <row r="27" spans="1:18">
      <c r="A27" s="9" t="s">
        <v>140</v>
      </c>
      <c r="B27" s="11">
        <v>1850488</v>
      </c>
      <c r="C27" s="11"/>
      <c r="D27" s="26">
        <v>0</v>
      </c>
      <c r="E27" s="17">
        <f t="shared" si="0"/>
        <v>1850488</v>
      </c>
      <c r="F27" s="11">
        <v>319382.24</v>
      </c>
      <c r="G27" s="11">
        <v>153110.576</v>
      </c>
      <c r="H27" s="26">
        <v>0</v>
      </c>
      <c r="I27" s="17">
        <f t="shared" si="2"/>
        <v>472492.81599999999</v>
      </c>
      <c r="J27" s="17">
        <f t="shared" si="1"/>
        <v>1377995.1839999999</v>
      </c>
      <c r="K27" s="11">
        <v>1463800.4</v>
      </c>
      <c r="M27" s="55">
        <f t="shared" si="4"/>
        <v>1531105.76</v>
      </c>
      <c r="N27" s="5">
        <f>+M27*0.1</f>
        <v>153110.576</v>
      </c>
      <c r="Q27" s="5">
        <f t="shared" si="5"/>
        <v>153110.576</v>
      </c>
      <c r="R27" s="13">
        <f t="shared" si="3"/>
        <v>0</v>
      </c>
    </row>
    <row r="28" spans="1:18">
      <c r="A28" s="9" t="s">
        <v>365</v>
      </c>
      <c r="B28" s="11">
        <v>626780</v>
      </c>
      <c r="C28" s="26"/>
      <c r="D28" s="26">
        <v>0</v>
      </c>
      <c r="E28" s="17">
        <f t="shared" si="0"/>
        <v>626780</v>
      </c>
      <c r="F28" s="11">
        <v>173931.45</v>
      </c>
      <c r="G28" s="11">
        <v>67927.282500000001</v>
      </c>
      <c r="H28" s="26">
        <v>0</v>
      </c>
      <c r="I28" s="17">
        <f t="shared" si="2"/>
        <v>241858.73250000001</v>
      </c>
      <c r="J28" s="17">
        <f t="shared" si="1"/>
        <v>384921.26749999996</v>
      </c>
      <c r="K28" s="11">
        <v>532763</v>
      </c>
      <c r="M28" s="55">
        <f t="shared" si="4"/>
        <v>452848.55</v>
      </c>
      <c r="N28" s="5">
        <f>+M28*0.15</f>
        <v>67927.282500000001</v>
      </c>
      <c r="Q28" s="5">
        <f t="shared" si="5"/>
        <v>67927.282500000001</v>
      </c>
      <c r="R28" s="13">
        <f t="shared" si="3"/>
        <v>0</v>
      </c>
    </row>
    <row r="29" spans="1:18">
      <c r="A29" s="9" t="s">
        <v>366</v>
      </c>
      <c r="B29" s="17"/>
      <c r="C29" s="17"/>
      <c r="D29" s="26"/>
      <c r="E29" s="17"/>
      <c r="F29" s="11"/>
      <c r="G29" s="11"/>
      <c r="H29" s="26"/>
      <c r="I29" s="17"/>
      <c r="J29" s="17"/>
      <c r="K29" s="11"/>
      <c r="M29" s="55"/>
      <c r="R29" s="13">
        <f t="shared" si="3"/>
        <v>0</v>
      </c>
    </row>
    <row r="30" spans="1:18">
      <c r="A30" s="9" t="s">
        <v>384</v>
      </c>
      <c r="B30" s="17">
        <v>296965364.61000001</v>
      </c>
      <c r="C30" s="17">
        <v>92962816</v>
      </c>
      <c r="D30" s="26">
        <v>0</v>
      </c>
      <c r="E30" s="17">
        <f t="shared" si="0"/>
        <v>389928180.61000001</v>
      </c>
      <c r="F30" s="11">
        <v>68687943.319000006</v>
      </c>
      <c r="G30" s="11">
        <v>45267592.32</v>
      </c>
      <c r="H30" s="26">
        <v>0</v>
      </c>
      <c r="I30" s="17">
        <f t="shared" si="2"/>
        <v>113955535.639</v>
      </c>
      <c r="J30" s="17">
        <f t="shared" si="1"/>
        <v>275972644.97100002</v>
      </c>
      <c r="K30" s="17">
        <v>53812770.960000001</v>
      </c>
      <c r="L30" s="13" t="s">
        <v>112</v>
      </c>
      <c r="M30" s="55">
        <f>+B30-F30</f>
        <v>228277421.29100001</v>
      </c>
      <c r="N30" s="5">
        <f>+M30*0.15</f>
        <v>34241613.19365</v>
      </c>
      <c r="O30" s="5">
        <f>54050239*0.15</f>
        <v>8107535.8499999996</v>
      </c>
      <c r="P30" s="5">
        <f>38912577*0.15/2</f>
        <v>2918443.2749999999</v>
      </c>
      <c r="Q30" s="5">
        <f>+N30+O30+P30</f>
        <v>45267592.31865</v>
      </c>
      <c r="R30" s="13">
        <f t="shared" si="3"/>
        <v>-1.3500005006790161E-3</v>
      </c>
    </row>
    <row r="31" spans="1:18">
      <c r="A31" s="32" t="s">
        <v>203</v>
      </c>
      <c r="C31" s="33">
        <v>12860</v>
      </c>
      <c r="D31" s="26"/>
      <c r="E31" s="17">
        <f t="shared" si="0"/>
        <v>12860</v>
      </c>
      <c r="F31" s="11"/>
      <c r="G31" s="11">
        <v>1236</v>
      </c>
      <c r="H31" s="26"/>
      <c r="I31" s="17">
        <f t="shared" si="2"/>
        <v>1236</v>
      </c>
      <c r="J31" s="17">
        <f t="shared" si="1"/>
        <v>11624</v>
      </c>
      <c r="K31" s="17"/>
      <c r="L31" s="13"/>
      <c r="M31" s="55"/>
      <c r="O31" s="5">
        <v>1236</v>
      </c>
      <c r="Q31" s="5">
        <f>+N31+O31+P31</f>
        <v>1236</v>
      </c>
      <c r="R31" s="13">
        <f t="shared" si="3"/>
        <v>0</v>
      </c>
    </row>
    <row r="32" spans="1:18">
      <c r="A32" s="9"/>
      <c r="B32" s="17"/>
      <c r="C32" s="17"/>
      <c r="D32" s="26"/>
      <c r="E32" s="17"/>
      <c r="F32" s="11"/>
      <c r="G32" s="26"/>
      <c r="H32" s="26"/>
      <c r="I32" s="17"/>
      <c r="J32" s="17"/>
      <c r="K32" s="17"/>
      <c r="L32" s="13"/>
      <c r="M32" s="55"/>
      <c r="R32" s="13">
        <f t="shared" si="3"/>
        <v>0</v>
      </c>
    </row>
    <row r="33" spans="1:18" s="21" customFormat="1">
      <c r="A33" s="8" t="s">
        <v>30</v>
      </c>
      <c r="B33" s="18">
        <f t="shared" ref="B33:K33" si="6">SUM(B10:B32)</f>
        <v>511482940.28000003</v>
      </c>
      <c r="C33" s="18">
        <f t="shared" si="6"/>
        <v>122933842</v>
      </c>
      <c r="D33" s="18">
        <f t="shared" si="6"/>
        <v>0</v>
      </c>
      <c r="E33" s="18">
        <f t="shared" si="6"/>
        <v>634416782.27999997</v>
      </c>
      <c r="F33" s="18">
        <f t="shared" si="6"/>
        <v>139446736.36000001</v>
      </c>
      <c r="G33" s="18">
        <f>SUM(G10:G32)</f>
        <v>71782194.546399996</v>
      </c>
      <c r="H33" s="18">
        <f t="shared" si="6"/>
        <v>0</v>
      </c>
      <c r="I33" s="18">
        <f t="shared" si="6"/>
        <v>211228930.90640002</v>
      </c>
      <c r="J33" s="18">
        <f>SUM(J10:J32)</f>
        <v>423187851.37360001</v>
      </c>
      <c r="K33" s="18">
        <f t="shared" si="6"/>
        <v>156397551.78</v>
      </c>
      <c r="M33" s="55"/>
      <c r="Q33" s="56">
        <f>SUM(Q10:Q31)</f>
        <v>70875598.105550006</v>
      </c>
      <c r="R33" s="13">
        <f t="shared" si="3"/>
        <v>-906596.44084998965</v>
      </c>
    </row>
    <row r="34" spans="1:18" s="21" customFormat="1">
      <c r="A34" s="8" t="s">
        <v>31</v>
      </c>
      <c r="B34" s="12">
        <v>245634976.28</v>
      </c>
      <c r="C34" s="12">
        <v>59498792</v>
      </c>
      <c r="D34" s="29">
        <v>0</v>
      </c>
      <c r="E34" s="18">
        <f>SUM(B34:D34)</f>
        <v>305133768.27999997</v>
      </c>
      <c r="F34" s="12">
        <v>89237424.50999999</v>
      </c>
      <c r="G34" s="12">
        <v>22088302.02</v>
      </c>
      <c r="H34" s="29">
        <v>0</v>
      </c>
      <c r="I34" s="18">
        <f>+F34+G34</f>
        <v>111325726.52999999</v>
      </c>
      <c r="J34" s="12">
        <v>118987061.79000001</v>
      </c>
      <c r="K34" s="12">
        <v>118987061.79000001</v>
      </c>
      <c r="M34" s="55"/>
    </row>
    <row r="35" spans="1:18">
      <c r="A35" s="8" t="s">
        <v>32</v>
      </c>
      <c r="B35" s="9"/>
      <c r="C35" s="11"/>
      <c r="D35" s="26"/>
      <c r="E35" s="17"/>
      <c r="F35" s="11"/>
      <c r="G35" s="11"/>
      <c r="H35" s="27"/>
      <c r="I35" s="9"/>
      <c r="J35" s="17"/>
      <c r="K35" s="17"/>
      <c r="M35" s="55">
        <f>+E35-I35</f>
        <v>0</v>
      </c>
    </row>
    <row r="36" spans="1:18">
      <c r="A36" s="9" t="s">
        <v>33</v>
      </c>
      <c r="B36" s="17">
        <v>220000</v>
      </c>
      <c r="C36" s="26">
        <v>0</v>
      </c>
      <c r="D36" s="26">
        <v>0</v>
      </c>
      <c r="E36" s="17">
        <f>B36+C36-D36</f>
        <v>220000</v>
      </c>
      <c r="F36" s="26">
        <v>0</v>
      </c>
      <c r="G36" s="26">
        <v>0</v>
      </c>
      <c r="H36" s="26">
        <v>0</v>
      </c>
      <c r="I36" s="27">
        <f>F36+G36-H36</f>
        <v>0</v>
      </c>
      <c r="J36" s="17">
        <f>E36-I36</f>
        <v>220000</v>
      </c>
      <c r="K36" s="17">
        <v>220000</v>
      </c>
      <c r="M36" s="55">
        <f>+E36-I36</f>
        <v>220000</v>
      </c>
    </row>
    <row r="37" spans="1:18">
      <c r="A37" s="9" t="s">
        <v>34</v>
      </c>
      <c r="B37" s="17">
        <v>4103188</v>
      </c>
      <c r="C37" s="26">
        <v>0</v>
      </c>
      <c r="D37" s="26">
        <v>0</v>
      </c>
      <c r="E37" s="17">
        <f>B37+C37-D37</f>
        <v>4103188</v>
      </c>
      <c r="F37" s="26">
        <v>0</v>
      </c>
      <c r="G37" s="26">
        <v>0</v>
      </c>
      <c r="H37" s="26">
        <v>0</v>
      </c>
      <c r="I37" s="27">
        <f>F37+G37-H37</f>
        <v>0</v>
      </c>
      <c r="J37" s="17">
        <f>E37-I37</f>
        <v>4103188</v>
      </c>
      <c r="K37" s="17">
        <v>4103188</v>
      </c>
      <c r="M37" s="55">
        <f>+E37-I37</f>
        <v>4103188</v>
      </c>
    </row>
    <row r="38" spans="1:18">
      <c r="A38" s="9" t="s">
        <v>35</v>
      </c>
      <c r="B38" s="17">
        <v>2297313859</v>
      </c>
      <c r="C38" s="26">
        <v>0</v>
      </c>
      <c r="D38" s="26">
        <v>0</v>
      </c>
      <c r="E38" s="17">
        <f>B38+C38-D38</f>
        <v>2297313859</v>
      </c>
      <c r="F38" s="26">
        <v>0</v>
      </c>
      <c r="G38" s="26">
        <v>0</v>
      </c>
      <c r="H38" s="26">
        <v>0</v>
      </c>
      <c r="I38" s="27">
        <f>F38+G38-H38</f>
        <v>0</v>
      </c>
      <c r="J38" s="17">
        <f>E38-I38</f>
        <v>2297313859</v>
      </c>
      <c r="K38" s="17">
        <v>2297313859</v>
      </c>
      <c r="M38" s="55">
        <f>+E38-I38</f>
        <v>2297313859</v>
      </c>
    </row>
    <row r="39" spans="1:18">
      <c r="A39" s="9" t="s">
        <v>36</v>
      </c>
      <c r="B39" s="17">
        <v>60000000</v>
      </c>
      <c r="C39" s="26">
        <v>0</v>
      </c>
      <c r="D39" s="26">
        <v>0</v>
      </c>
      <c r="E39" s="17">
        <f>B39+C39-D39</f>
        <v>60000000</v>
      </c>
      <c r="F39" s="26">
        <v>0</v>
      </c>
      <c r="G39" s="26">
        <v>0</v>
      </c>
      <c r="H39" s="26">
        <v>0</v>
      </c>
      <c r="I39" s="27">
        <f>F39+G39-H39</f>
        <v>0</v>
      </c>
      <c r="J39" s="17">
        <f>E39-I39</f>
        <v>60000000</v>
      </c>
      <c r="K39" s="17">
        <v>60000000</v>
      </c>
      <c r="M39" s="55">
        <f>+E39-I39</f>
        <v>60000000</v>
      </c>
    </row>
    <row r="40" spans="1:18" s="21" customFormat="1">
      <c r="A40" s="8" t="s">
        <v>125</v>
      </c>
      <c r="B40" s="18">
        <v>2361637047</v>
      </c>
      <c r="C40" s="29">
        <f>SUM(C36:C39)</f>
        <v>0</v>
      </c>
      <c r="D40" s="29">
        <v>0</v>
      </c>
      <c r="E40" s="18">
        <f>SUM(E36:E39)</f>
        <v>2361637047</v>
      </c>
      <c r="F40" s="29">
        <v>0</v>
      </c>
      <c r="G40" s="29">
        <f>SUM(G36:G39)</f>
        <v>0</v>
      </c>
      <c r="H40" s="29">
        <v>0</v>
      </c>
      <c r="I40" s="34">
        <f>SUM(I36:I39)</f>
        <v>0</v>
      </c>
      <c r="J40" s="18">
        <f>SUM(J36:J39)</f>
        <v>2361637047</v>
      </c>
      <c r="K40" s="18">
        <f>SUM(K36:K39)</f>
        <v>2361637047</v>
      </c>
      <c r="M40" s="55"/>
    </row>
    <row r="41" spans="1:18" s="21" customFormat="1" ht="13.8" thickBot="1">
      <c r="A41" s="31" t="s">
        <v>37</v>
      </c>
      <c r="B41" s="22">
        <v>2873119987.2800002</v>
      </c>
      <c r="C41" s="22">
        <f>C33+C40</f>
        <v>122933842</v>
      </c>
      <c r="D41" s="35">
        <v>0</v>
      </c>
      <c r="E41" s="22">
        <f>SUM(B41:D41)</f>
        <v>2996053829.2800002</v>
      </c>
      <c r="F41" s="22">
        <v>139446736.36000001</v>
      </c>
      <c r="G41" s="30">
        <f>G33+G40</f>
        <v>71782194.546399996</v>
      </c>
      <c r="H41" s="35">
        <v>0</v>
      </c>
      <c r="I41" s="22">
        <f>I33+I40</f>
        <v>211228930.90640002</v>
      </c>
      <c r="J41" s="22">
        <f>J33+J40</f>
        <v>2784824898.3736</v>
      </c>
      <c r="K41" s="22">
        <f>K33+K40</f>
        <v>2518034598.7800002</v>
      </c>
      <c r="M41" s="55"/>
    </row>
    <row r="42" spans="1:18" ht="13.8" thickTop="1">
      <c r="J42" s="13"/>
    </row>
    <row r="43" spans="1:18">
      <c r="C43" s="15"/>
      <c r="G43" s="23"/>
      <c r="I43" s="13"/>
      <c r="J43" s="13"/>
    </row>
    <row r="44" spans="1:18">
      <c r="C44" s="20"/>
      <c r="G44" s="23"/>
      <c r="J44" s="13"/>
      <c r="K44" s="13"/>
    </row>
    <row r="45" spans="1:18">
      <c r="B45" s="13"/>
      <c r="C45" s="13"/>
      <c r="G45" s="23"/>
    </row>
    <row r="46" spans="1:18">
      <c r="C46" s="13"/>
    </row>
    <row r="47" spans="1:18">
      <c r="G47" s="13"/>
    </row>
  </sheetData>
  <mergeCells count="6">
    <mergeCell ref="A1:K1"/>
    <mergeCell ref="A3:K3"/>
    <mergeCell ref="J4:K4"/>
    <mergeCell ref="B6:E6"/>
    <mergeCell ref="F6:I6"/>
    <mergeCell ref="J6:K6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3:L21"/>
  <sheetViews>
    <sheetView workbookViewId="0">
      <selection activeCell="I22" sqref="I22"/>
    </sheetView>
  </sheetViews>
  <sheetFormatPr defaultColWidth="9.109375" defaultRowHeight="15.6"/>
  <cols>
    <col min="1" max="1" width="20.88671875" style="69" bestFit="1" customWidth="1"/>
    <col min="2" max="2" width="9.109375" style="69"/>
    <col min="3" max="3" width="11.5546875" style="69" bestFit="1" customWidth="1"/>
    <col min="4" max="4" width="17.88671875" style="69" customWidth="1"/>
    <col min="5" max="5" width="16" style="69" customWidth="1"/>
    <col min="6" max="6" width="15.109375" style="69" customWidth="1"/>
    <col min="7" max="7" width="15" style="69" customWidth="1"/>
    <col min="8" max="8" width="15.33203125" style="69" customWidth="1"/>
    <col min="9" max="9" width="10.5546875" style="69" bestFit="1" customWidth="1"/>
    <col min="10" max="10" width="9.109375" style="69"/>
    <col min="11" max="11" width="10.5546875" style="69" bestFit="1" customWidth="1"/>
    <col min="12" max="16384" width="9.109375" style="69"/>
  </cols>
  <sheetData>
    <row r="3" spans="1:12">
      <c r="G3" s="71"/>
    </row>
    <row r="5" spans="1:12">
      <c r="C5" s="92"/>
    </row>
    <row r="6" spans="1:12">
      <c r="C6" s="92"/>
    </row>
    <row r="8" spans="1:12" ht="16.2" thickBot="1"/>
    <row r="9" spans="1:12" ht="16.2" thickBot="1">
      <c r="A9" s="211" t="s">
        <v>689</v>
      </c>
      <c r="B9" s="209" t="s">
        <v>682</v>
      </c>
      <c r="C9" s="209" t="s">
        <v>690</v>
      </c>
      <c r="D9" s="209" t="s">
        <v>686</v>
      </c>
      <c r="E9" s="209" t="s">
        <v>683</v>
      </c>
      <c r="F9" s="209" t="s">
        <v>684</v>
      </c>
      <c r="G9" s="209" t="s">
        <v>685</v>
      </c>
      <c r="H9" s="209" t="s">
        <v>687</v>
      </c>
      <c r="I9" s="210" t="s">
        <v>688</v>
      </c>
    </row>
    <row r="10" spans="1:12">
      <c r="A10" s="216">
        <v>7444853</v>
      </c>
      <c r="B10" s="217">
        <v>51.5</v>
      </c>
      <c r="C10" s="218">
        <f>A10/B10</f>
        <v>144560.25242718446</v>
      </c>
      <c r="D10" s="218">
        <f>C10*12</f>
        <v>1734723.0291262134</v>
      </c>
      <c r="E10" s="218">
        <f>C10*12</f>
        <v>1734723.0291262134</v>
      </c>
      <c r="F10" s="218">
        <f>C10*12</f>
        <v>1734723.0291262134</v>
      </c>
      <c r="G10" s="218">
        <f>C10*12</f>
        <v>1734723.0291262134</v>
      </c>
      <c r="H10" s="218">
        <f>C10*3.5</f>
        <v>505960.88349514559</v>
      </c>
      <c r="I10" s="219">
        <f>SUM(D10:H10)</f>
        <v>7444852.9999999991</v>
      </c>
      <c r="K10" s="75">
        <f>+I10</f>
        <v>7444852.9999999991</v>
      </c>
      <c r="L10" s="69">
        <v>7444</v>
      </c>
    </row>
    <row r="11" spans="1:12" ht="16.2" thickBot="1">
      <c r="A11" s="212">
        <v>5107051</v>
      </c>
      <c r="B11" s="213">
        <v>51.5</v>
      </c>
      <c r="C11" s="214">
        <f>A11/B11</f>
        <v>99166.038834951454</v>
      </c>
      <c r="D11" s="214">
        <f>C11*12</f>
        <v>1189992.4660194174</v>
      </c>
      <c r="E11" s="214">
        <f>C11*12</f>
        <v>1189992.4660194174</v>
      </c>
      <c r="F11" s="214">
        <f>C11*12</f>
        <v>1189992.4660194174</v>
      </c>
      <c r="G11" s="214">
        <f>C11*12</f>
        <v>1189992.4660194174</v>
      </c>
      <c r="H11" s="214">
        <f>C11*3.5</f>
        <v>347081.13592233008</v>
      </c>
      <c r="I11" s="215">
        <f>SUM(D11:H11)</f>
        <v>5107051</v>
      </c>
      <c r="K11" s="69">
        <f>+K10/39.5</f>
        <v>188477.29113924049</v>
      </c>
    </row>
    <row r="12" spans="1:12">
      <c r="F12" s="75"/>
      <c r="K12" s="69">
        <f>+K11*12</f>
        <v>2261727.4936708859</v>
      </c>
    </row>
    <row r="13" spans="1:12">
      <c r="F13" s="75"/>
    </row>
    <row r="15" spans="1:12">
      <c r="D15" s="75">
        <f>A10-D10</f>
        <v>5710129.9708737861</v>
      </c>
      <c r="F15" s="75">
        <f>A10</f>
        <v>7444853</v>
      </c>
      <c r="G15" s="75">
        <f>A11</f>
        <v>5107051</v>
      </c>
    </row>
    <row r="16" spans="1:12">
      <c r="D16" s="75">
        <f>A11-D11</f>
        <v>3917058.5339805828</v>
      </c>
      <c r="F16" s="75">
        <f>D10</f>
        <v>1734723.0291262134</v>
      </c>
      <c r="G16" s="75">
        <f>D11</f>
        <v>1189992.4660194174</v>
      </c>
    </row>
    <row r="17" spans="2:7">
      <c r="F17" s="75">
        <f>E10</f>
        <v>1734723.0291262134</v>
      </c>
      <c r="G17" s="75">
        <f>E11</f>
        <v>1189992.4660194174</v>
      </c>
    </row>
    <row r="18" spans="2:7">
      <c r="B18" s="69">
        <v>2012</v>
      </c>
      <c r="C18" s="69">
        <v>12</v>
      </c>
      <c r="F18" s="175">
        <f>F15-F16-F17</f>
        <v>3975406.9417475727</v>
      </c>
      <c r="G18" s="175">
        <f>G15-G16-G17</f>
        <v>2727066.0679611657</v>
      </c>
    </row>
    <row r="19" spans="2:7">
      <c r="B19" s="69">
        <v>2013</v>
      </c>
      <c r="C19" s="69">
        <v>12</v>
      </c>
    </row>
    <row r="20" spans="2:7">
      <c r="B20" s="69" t="s">
        <v>911</v>
      </c>
      <c r="C20" s="69">
        <v>12</v>
      </c>
      <c r="D20" s="69">
        <v>39.5</v>
      </c>
    </row>
    <row r="21" spans="2:7">
      <c r="B21" s="69">
        <v>3.5</v>
      </c>
    </row>
  </sheetData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2:B36"/>
  <sheetViews>
    <sheetView topLeftCell="A25" zoomScale="110" zoomScaleNormal="110" workbookViewId="0">
      <selection activeCell="B36" sqref="B36"/>
    </sheetView>
  </sheetViews>
  <sheetFormatPr defaultColWidth="9.109375" defaultRowHeight="15.6"/>
  <cols>
    <col min="1" max="1" width="50.44140625" style="243" bestFit="1" customWidth="1"/>
    <col min="2" max="2" width="15" style="243" bestFit="1" customWidth="1"/>
    <col min="3" max="16384" width="9.109375" style="243"/>
  </cols>
  <sheetData>
    <row r="2" spans="1:2" ht="19.2">
      <c r="A2" s="244" t="s">
        <v>935</v>
      </c>
    </row>
    <row r="4" spans="1:2" ht="19.2">
      <c r="A4" s="246" t="s">
        <v>936</v>
      </c>
      <c r="B4" s="246" t="s">
        <v>962</v>
      </c>
    </row>
    <row r="5" spans="1:2">
      <c r="A5" s="243" t="s">
        <v>937</v>
      </c>
      <c r="B5" s="245">
        <v>988387</v>
      </c>
    </row>
    <row r="6" spans="1:2">
      <c r="A6" s="243" t="s">
        <v>938</v>
      </c>
      <c r="B6" s="245">
        <v>1187240.56</v>
      </c>
    </row>
    <row r="7" spans="1:2">
      <c r="A7" s="243" t="s">
        <v>939</v>
      </c>
      <c r="B7" s="245">
        <v>3832974.3</v>
      </c>
    </row>
    <row r="8" spans="1:2">
      <c r="A8" s="243" t="s">
        <v>940</v>
      </c>
      <c r="B8" s="245">
        <v>1312740</v>
      </c>
    </row>
    <row r="9" spans="1:2">
      <c r="A9" s="243" t="s">
        <v>941</v>
      </c>
      <c r="B9" s="245">
        <v>914894</v>
      </c>
    </row>
    <row r="10" spans="1:2">
      <c r="A10" s="243" t="s">
        <v>942</v>
      </c>
      <c r="B10" s="245">
        <v>1227307.17</v>
      </c>
    </row>
    <row r="11" spans="1:2">
      <c r="A11" s="243" t="s">
        <v>943</v>
      </c>
      <c r="B11" s="245">
        <v>419233.63</v>
      </c>
    </row>
    <row r="12" spans="1:2">
      <c r="A12" s="243" t="s">
        <v>944</v>
      </c>
      <c r="B12" s="245">
        <v>363868.82</v>
      </c>
    </row>
    <row r="13" spans="1:2">
      <c r="A13" s="243" t="s">
        <v>945</v>
      </c>
      <c r="B13" s="245">
        <v>57006</v>
      </c>
    </row>
    <row r="14" spans="1:2" ht="19.2">
      <c r="A14" s="246" t="s">
        <v>960</v>
      </c>
      <c r="B14" s="247">
        <f>SUM(B5:B13)</f>
        <v>10303651.48</v>
      </c>
    </row>
    <row r="15" spans="1:2">
      <c r="B15" s="245"/>
    </row>
    <row r="17" spans="1:2" ht="19.2">
      <c r="A17" s="244" t="s">
        <v>946</v>
      </c>
    </row>
    <row r="19" spans="1:2" ht="19.2">
      <c r="A19" s="246" t="s">
        <v>936</v>
      </c>
      <c r="B19" s="246" t="s">
        <v>962</v>
      </c>
    </row>
    <row r="20" spans="1:2">
      <c r="A20" s="243" t="s">
        <v>947</v>
      </c>
      <c r="B20" s="243">
        <v>1376677.25</v>
      </c>
    </row>
    <row r="21" spans="1:2">
      <c r="A21" s="243" t="s">
        <v>948</v>
      </c>
      <c r="B21" s="243">
        <v>648602.80000000005</v>
      </c>
    </row>
    <row r="22" spans="1:2">
      <c r="A22" s="243" t="s">
        <v>949</v>
      </c>
      <c r="B22" s="243">
        <v>2951802.16</v>
      </c>
    </row>
    <row r="23" spans="1:2">
      <c r="A23" s="243" t="s">
        <v>950</v>
      </c>
      <c r="B23" s="243">
        <v>2865102.79</v>
      </c>
    </row>
    <row r="24" spans="1:2">
      <c r="A24" s="243" t="s">
        <v>951</v>
      </c>
      <c r="B24" s="243">
        <v>2234374.34</v>
      </c>
    </row>
    <row r="25" spans="1:2">
      <c r="A25" s="243" t="s">
        <v>952</v>
      </c>
      <c r="B25" s="243">
        <v>555561.38</v>
      </c>
    </row>
    <row r="26" spans="1:2">
      <c r="A26" s="243" t="s">
        <v>953</v>
      </c>
      <c r="B26" s="243">
        <v>3433099.32</v>
      </c>
    </row>
    <row r="27" spans="1:2">
      <c r="A27" s="243" t="s">
        <v>954</v>
      </c>
      <c r="B27" s="243">
        <v>587611.30000000005</v>
      </c>
    </row>
    <row r="28" spans="1:2">
      <c r="A28" s="243" t="s">
        <v>955</v>
      </c>
      <c r="B28" s="243">
        <v>2809635</v>
      </c>
    </row>
    <row r="29" spans="1:2">
      <c r="A29" s="243" t="s">
        <v>956</v>
      </c>
      <c r="B29" s="243">
        <v>2812422.06</v>
      </c>
    </row>
    <row r="30" spans="1:2">
      <c r="A30" s="243" t="s">
        <v>957</v>
      </c>
      <c r="B30" s="243">
        <v>4088558.53</v>
      </c>
    </row>
    <row r="31" spans="1:2">
      <c r="A31" s="243" t="s">
        <v>958</v>
      </c>
      <c r="B31" s="243">
        <v>129044.06</v>
      </c>
    </row>
    <row r="32" spans="1:2">
      <c r="A32" s="243" t="s">
        <v>959</v>
      </c>
      <c r="B32" s="243">
        <v>989603.99</v>
      </c>
    </row>
    <row r="33" spans="1:2" ht="19.2">
      <c r="A33" s="246" t="s">
        <v>960</v>
      </c>
      <c r="B33" s="247">
        <f>SUM(B20:B32)</f>
        <v>25482094.98</v>
      </c>
    </row>
    <row r="36" spans="1:2" ht="19.2">
      <c r="A36" s="246" t="s">
        <v>961</v>
      </c>
      <c r="B36" s="247">
        <f>B14+B33</f>
        <v>35785746.460000001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2:A3"/>
  <sheetViews>
    <sheetView workbookViewId="0">
      <selection activeCell="A2" sqref="A2:A3"/>
    </sheetView>
  </sheetViews>
  <sheetFormatPr defaultRowHeight="13.2"/>
  <sheetData>
    <row r="2" spans="1:1">
      <c r="A2" t="s">
        <v>975</v>
      </c>
    </row>
    <row r="3" spans="1:1">
      <c r="A3" t="s">
        <v>976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K16"/>
  <sheetViews>
    <sheetView topLeftCell="A8" workbookViewId="0">
      <selection activeCell="J15" sqref="J15"/>
    </sheetView>
  </sheetViews>
  <sheetFormatPr defaultColWidth="8.88671875" defaultRowHeight="15.6"/>
  <cols>
    <col min="1" max="1" width="10.5546875" style="69" bestFit="1" customWidth="1"/>
    <col min="2" max="2" width="16.6640625" style="69" customWidth="1"/>
    <col min="3" max="3" width="19.33203125" style="69" customWidth="1"/>
    <col min="4" max="4" width="17.44140625" style="69" customWidth="1"/>
    <col min="5" max="5" width="14.6640625" style="69" bestFit="1" customWidth="1"/>
    <col min="6" max="7" width="13" style="69" customWidth="1"/>
    <col min="8" max="8" width="11.109375" style="69" bestFit="1" customWidth="1"/>
    <col min="9" max="9" width="10.88671875" style="69" customWidth="1"/>
    <col min="10" max="10" width="11.44140625" style="69" customWidth="1"/>
    <col min="11" max="16384" width="8.88671875" style="69"/>
  </cols>
  <sheetData>
    <row r="1" spans="1:11" s="171" customFormat="1" ht="78.599999999999994" thickBot="1">
      <c r="A1" s="379" t="s">
        <v>1151</v>
      </c>
      <c r="B1" s="380" t="s">
        <v>1152</v>
      </c>
      <c r="C1" s="368" t="s">
        <v>1157</v>
      </c>
      <c r="D1" s="368" t="s">
        <v>1153</v>
      </c>
      <c r="E1" s="368" t="s">
        <v>1154</v>
      </c>
      <c r="F1" s="368" t="s">
        <v>1160</v>
      </c>
      <c r="G1" s="368" t="s">
        <v>1198</v>
      </c>
      <c r="H1" s="368" t="s">
        <v>1167</v>
      </c>
      <c r="I1" s="368" t="s">
        <v>1155</v>
      </c>
      <c r="J1" s="369" t="s">
        <v>1159</v>
      </c>
    </row>
    <row r="2" spans="1:11" ht="46.8">
      <c r="A2" s="272">
        <v>1</v>
      </c>
      <c r="B2" s="381" t="s">
        <v>1156</v>
      </c>
      <c r="C2" s="375" t="s">
        <v>1158</v>
      </c>
      <c r="D2" s="218">
        <v>140000</v>
      </c>
      <c r="E2" s="218">
        <v>87199</v>
      </c>
      <c r="F2" s="218">
        <v>3960</v>
      </c>
      <c r="G2" s="218">
        <f>E2+F2</f>
        <v>91159</v>
      </c>
      <c r="H2" s="218">
        <f>D2-E2-F2</f>
        <v>48841</v>
      </c>
      <c r="I2" s="218">
        <v>110000</v>
      </c>
      <c r="J2" s="219">
        <f>I2-H2</f>
        <v>61159</v>
      </c>
    </row>
    <row r="3" spans="1:11" ht="47.4" thickBot="1">
      <c r="A3" s="274">
        <v>2</v>
      </c>
      <c r="B3" s="382" t="s">
        <v>1156</v>
      </c>
      <c r="C3" s="376" t="s">
        <v>1158</v>
      </c>
      <c r="D3" s="214">
        <v>140000</v>
      </c>
      <c r="E3" s="371">
        <v>87199</v>
      </c>
      <c r="F3" s="371">
        <v>3960</v>
      </c>
      <c r="G3" s="218">
        <f>E3+F3</f>
        <v>91159</v>
      </c>
      <c r="H3" s="371">
        <f>D3-E3-F3</f>
        <v>48841</v>
      </c>
      <c r="I3" s="371">
        <v>110000</v>
      </c>
      <c r="J3" s="383">
        <f>I3-H3</f>
        <v>61159</v>
      </c>
    </row>
    <row r="4" spans="1:11" ht="16.2" thickBot="1">
      <c r="A4" s="71"/>
      <c r="B4" s="125"/>
      <c r="C4" s="71"/>
      <c r="D4" s="92"/>
      <c r="E4" s="92"/>
      <c r="F4" s="71"/>
      <c r="G4" s="71"/>
      <c r="H4" s="71"/>
      <c r="I4" s="71"/>
      <c r="J4" s="71"/>
    </row>
    <row r="5" spans="1:11" ht="78.599999999999994" thickBot="1">
      <c r="A5" s="366" t="s">
        <v>1151</v>
      </c>
      <c r="B5" s="367" t="s">
        <v>1152</v>
      </c>
      <c r="C5" s="368" t="s">
        <v>1157</v>
      </c>
      <c r="D5" s="368" t="s">
        <v>1153</v>
      </c>
      <c r="E5" s="368" t="s">
        <v>1154</v>
      </c>
      <c r="F5" s="368" t="s">
        <v>1162</v>
      </c>
      <c r="G5" s="368" t="s">
        <v>1198</v>
      </c>
      <c r="H5" s="368" t="s">
        <v>1169</v>
      </c>
      <c r="I5" s="369" t="s">
        <v>1155</v>
      </c>
      <c r="J5" s="372" t="s">
        <v>1159</v>
      </c>
    </row>
    <row r="6" spans="1:11" ht="47.4" thickBot="1">
      <c r="A6" s="373">
        <v>1</v>
      </c>
      <c r="B6" s="370" t="s">
        <v>1161</v>
      </c>
      <c r="C6" s="377" t="s">
        <v>1168</v>
      </c>
      <c r="D6" s="371">
        <v>150000</v>
      </c>
      <c r="E6" s="371">
        <v>93428</v>
      </c>
      <c r="F6" s="371">
        <v>4243</v>
      </c>
      <c r="G6" s="218">
        <f>E6+F6</f>
        <v>97671</v>
      </c>
      <c r="H6" s="371">
        <f>D6-E6-F6</f>
        <v>52329</v>
      </c>
      <c r="I6" s="383">
        <v>15000</v>
      </c>
      <c r="J6" s="383">
        <f>I6-H6</f>
        <v>-37329</v>
      </c>
    </row>
    <row r="8" spans="1:11" ht="16.2" thickBot="1"/>
    <row r="9" spans="1:11" ht="78.599999999999994" thickBot="1">
      <c r="A9" s="366" t="s">
        <v>1151</v>
      </c>
      <c r="B9" s="367" t="s">
        <v>1152</v>
      </c>
      <c r="C9" s="368" t="s">
        <v>1157</v>
      </c>
      <c r="D9" s="368" t="s">
        <v>1153</v>
      </c>
      <c r="E9" s="368" t="s">
        <v>1154</v>
      </c>
      <c r="F9" s="368" t="s">
        <v>1164</v>
      </c>
      <c r="G9" s="368" t="s">
        <v>1198</v>
      </c>
      <c r="H9" s="368" t="s">
        <v>1171</v>
      </c>
      <c r="I9" s="368" t="s">
        <v>1155</v>
      </c>
      <c r="J9" s="369" t="s">
        <v>1159</v>
      </c>
    </row>
    <row r="10" spans="1:11" ht="47.4" thickBot="1">
      <c r="A10" s="373">
        <v>1</v>
      </c>
      <c r="B10" s="374" t="s">
        <v>1163</v>
      </c>
      <c r="C10" s="377" t="s">
        <v>1170</v>
      </c>
      <c r="D10" s="371">
        <v>150000</v>
      </c>
      <c r="E10" s="371">
        <v>93428</v>
      </c>
      <c r="F10" s="371">
        <v>4243</v>
      </c>
      <c r="G10" s="218">
        <f>E10+F10</f>
        <v>97671</v>
      </c>
      <c r="H10" s="371">
        <f>D10-E10-F10</f>
        <v>52329</v>
      </c>
      <c r="I10" s="371">
        <v>49500</v>
      </c>
      <c r="J10" s="383">
        <f>I10-H10</f>
        <v>-2829</v>
      </c>
    </row>
    <row r="11" spans="1:11" ht="16.2" thickBot="1"/>
    <row r="12" spans="1:11" ht="78.599999999999994" thickBot="1">
      <c r="A12" s="366" t="s">
        <v>1151</v>
      </c>
      <c r="B12" s="367" t="s">
        <v>1152</v>
      </c>
      <c r="C12" s="368" t="s">
        <v>1157</v>
      </c>
      <c r="D12" s="368" t="s">
        <v>1153</v>
      </c>
      <c r="E12" s="368" t="s">
        <v>1154</v>
      </c>
      <c r="F12" s="368" t="s">
        <v>1164</v>
      </c>
      <c r="G12" s="368" t="s">
        <v>1198</v>
      </c>
      <c r="H12" s="368" t="s">
        <v>1172</v>
      </c>
      <c r="I12" s="368" t="s">
        <v>1155</v>
      </c>
      <c r="J12" s="369" t="s">
        <v>1159</v>
      </c>
    </row>
    <row r="13" spans="1:11" ht="31.8" thickBot="1">
      <c r="A13" s="373">
        <v>1</v>
      </c>
      <c r="B13" s="374" t="s">
        <v>1165</v>
      </c>
      <c r="C13" s="378" t="s">
        <v>1166</v>
      </c>
      <c r="D13" s="371">
        <v>3977242</v>
      </c>
      <c r="E13" s="371">
        <v>3252951</v>
      </c>
      <c r="F13" s="371">
        <v>54321</v>
      </c>
      <c r="G13" s="218">
        <f>E13+F13</f>
        <v>3307272</v>
      </c>
      <c r="H13" s="371">
        <f>D13-E13-F13</f>
        <v>669970</v>
      </c>
      <c r="I13" s="371">
        <v>80000</v>
      </c>
      <c r="J13" s="383">
        <f>I13-H13</f>
        <v>-589970</v>
      </c>
      <c r="K13" s="230"/>
    </row>
    <row r="15" spans="1:11">
      <c r="D15" s="75">
        <f>D2+D3+D6+D10+D13</f>
        <v>4557242</v>
      </c>
      <c r="E15" s="75"/>
      <c r="F15" s="75"/>
      <c r="G15" s="75">
        <f>G2+G3+G6+G10+G13</f>
        <v>3684932</v>
      </c>
      <c r="H15" s="75">
        <f>H2+H3+H6+H10+H13</f>
        <v>872310</v>
      </c>
      <c r="I15" s="75">
        <f>I2+I3+I6+I10+I13</f>
        <v>364500</v>
      </c>
      <c r="J15" s="75">
        <f>J2+J3+J6+J10+J13</f>
        <v>-507810</v>
      </c>
    </row>
    <row r="16" spans="1:11">
      <c r="D16" s="75">
        <f>D2+D3+D6+D10+D13</f>
        <v>4557242</v>
      </c>
      <c r="E16" s="75"/>
      <c r="G16" s="75">
        <f>G2+G3+G6+G10+G13</f>
        <v>3684932</v>
      </c>
      <c r="H16" s="75">
        <f>H2+H3+H6+H10+H13</f>
        <v>872310</v>
      </c>
    </row>
  </sheetData>
  <pageMargins left="0.70866141732283472" right="0.70866141732283472" top="0.17" bottom="0.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</sheetPr>
  <dimension ref="A1:AA17"/>
  <sheetViews>
    <sheetView topLeftCell="Q1" workbookViewId="0">
      <selection activeCell="Z25" sqref="Z25"/>
    </sheetView>
  </sheetViews>
  <sheetFormatPr defaultColWidth="8.88671875" defaultRowHeight="15.6"/>
  <cols>
    <col min="1" max="1" width="18.33203125" style="69" customWidth="1"/>
    <col min="2" max="2" width="17.33203125" style="69" customWidth="1"/>
    <col min="3" max="3" width="16.44140625" style="69" customWidth="1"/>
    <col min="4" max="4" width="11.5546875" style="69" customWidth="1"/>
    <col min="5" max="5" width="10.5546875" style="69" bestFit="1" customWidth="1"/>
    <col min="6" max="6" width="11.6640625" style="69" customWidth="1"/>
    <col min="7" max="7" width="10.5546875" style="69" bestFit="1" customWidth="1"/>
    <col min="8" max="8" width="11.5546875" style="69" customWidth="1"/>
    <col min="9" max="9" width="10.5546875" style="69" bestFit="1" customWidth="1"/>
    <col min="10" max="10" width="10.33203125" style="69" customWidth="1"/>
    <col min="11" max="11" width="10.5546875" style="69" bestFit="1" customWidth="1"/>
    <col min="12" max="12" width="11.6640625" style="69" customWidth="1"/>
    <col min="13" max="13" width="10.5546875" style="69" bestFit="1" customWidth="1"/>
    <col min="14" max="14" width="10.33203125" style="69" customWidth="1"/>
    <col min="15" max="15" width="10.5546875" style="69" bestFit="1" customWidth="1"/>
    <col min="16" max="16" width="11.33203125" style="69" customWidth="1"/>
    <col min="17" max="17" width="10.5546875" style="69" bestFit="1" customWidth="1"/>
    <col min="18" max="18" width="10.33203125" style="69" customWidth="1"/>
    <col min="19" max="19" width="10.5546875" style="69" bestFit="1" customWidth="1"/>
    <col min="20" max="20" width="11.6640625" style="69" customWidth="1"/>
    <col min="21" max="21" width="10.6640625" style="69" customWidth="1"/>
    <col min="22" max="22" width="11.88671875" style="69" customWidth="1"/>
    <col min="23" max="23" width="9.5546875" style="69" bestFit="1" customWidth="1"/>
    <col min="24" max="24" width="12.109375" style="69" customWidth="1"/>
    <col min="25" max="25" width="9.5546875" style="69" bestFit="1" customWidth="1"/>
    <col min="26" max="26" width="11.6640625" style="69" customWidth="1"/>
    <col min="27" max="27" width="9.5546875" style="69" bestFit="1" customWidth="1"/>
    <col min="28" max="16384" width="8.88671875" style="69"/>
  </cols>
  <sheetData>
    <row r="1" spans="1:27" ht="78.599999999999994" thickBot="1">
      <c r="A1" s="366" t="s">
        <v>1180</v>
      </c>
      <c r="B1" s="368" t="s">
        <v>1182</v>
      </c>
      <c r="C1" s="368" t="s">
        <v>1181</v>
      </c>
      <c r="D1" s="386" t="s">
        <v>1173</v>
      </c>
      <c r="E1" s="368" t="s">
        <v>575</v>
      </c>
      <c r="F1" s="386" t="s">
        <v>1174</v>
      </c>
      <c r="G1" s="368" t="s">
        <v>575</v>
      </c>
      <c r="H1" s="386" t="s">
        <v>1175</v>
      </c>
      <c r="I1" s="368" t="s">
        <v>575</v>
      </c>
      <c r="J1" s="386" t="s">
        <v>1176</v>
      </c>
      <c r="K1" s="368" t="s">
        <v>575</v>
      </c>
      <c r="L1" s="386" t="s">
        <v>1177</v>
      </c>
      <c r="M1" s="368" t="s">
        <v>575</v>
      </c>
      <c r="N1" s="386" t="s">
        <v>1178</v>
      </c>
      <c r="O1" s="368" t="s">
        <v>575</v>
      </c>
      <c r="P1" s="386" t="s">
        <v>1179</v>
      </c>
      <c r="Q1" s="369" t="s">
        <v>201</v>
      </c>
    </row>
    <row r="2" spans="1:27" ht="31.8" thickBot="1">
      <c r="A2" s="388" t="s">
        <v>1156</v>
      </c>
      <c r="B2" s="389">
        <v>140000</v>
      </c>
      <c r="C2" s="371" t="s">
        <v>1158</v>
      </c>
      <c r="D2" s="371">
        <f>B2*15/100</f>
        <v>21000</v>
      </c>
      <c r="E2" s="371">
        <f>B2-D2</f>
        <v>119000</v>
      </c>
      <c r="F2" s="371">
        <f>E2*15/100</f>
        <v>17850</v>
      </c>
      <c r="G2" s="371">
        <f>E2-F2</f>
        <v>101150</v>
      </c>
      <c r="H2" s="371">
        <f>G2*15/100</f>
        <v>15172.5</v>
      </c>
      <c r="I2" s="371">
        <f>G2-H2</f>
        <v>85977.5</v>
      </c>
      <c r="J2" s="371">
        <f>I2*15/100</f>
        <v>12896.625</v>
      </c>
      <c r="K2" s="371">
        <f>I2-J2</f>
        <v>73080.875</v>
      </c>
      <c r="L2" s="371">
        <f>K2*15/100</f>
        <v>10962.13125</v>
      </c>
      <c r="M2" s="371">
        <f>K2-L2</f>
        <v>62118.743750000001</v>
      </c>
      <c r="N2" s="371">
        <f>M2*15/100</f>
        <v>9317.8115624999991</v>
      </c>
      <c r="O2" s="371">
        <f>M2-N2</f>
        <v>52800.932187500002</v>
      </c>
      <c r="P2" s="371">
        <f>O2*7.5/100</f>
        <v>3960.0699140625006</v>
      </c>
      <c r="Q2" s="383">
        <f>O2-P2</f>
        <v>48840.862273437502</v>
      </c>
    </row>
    <row r="4" spans="1:27" ht="16.2" thickBot="1"/>
    <row r="5" spans="1:27" ht="78.599999999999994" thickBot="1">
      <c r="A5" s="366" t="s">
        <v>1180</v>
      </c>
      <c r="B5" s="368" t="s">
        <v>1182</v>
      </c>
      <c r="C5" s="368" t="s">
        <v>1181</v>
      </c>
      <c r="D5" s="386" t="s">
        <v>1173</v>
      </c>
      <c r="E5" s="368" t="s">
        <v>575</v>
      </c>
      <c r="F5" s="386" t="s">
        <v>1174</v>
      </c>
      <c r="G5" s="368" t="s">
        <v>575</v>
      </c>
      <c r="H5" s="386" t="s">
        <v>1175</v>
      </c>
      <c r="I5" s="368" t="s">
        <v>575</v>
      </c>
      <c r="J5" s="386" t="s">
        <v>1176</v>
      </c>
      <c r="K5" s="368" t="s">
        <v>575</v>
      </c>
      <c r="L5" s="386" t="s">
        <v>1177</v>
      </c>
      <c r="M5" s="368" t="s">
        <v>575</v>
      </c>
      <c r="N5" s="386" t="s">
        <v>1178</v>
      </c>
      <c r="O5" s="368" t="s">
        <v>575</v>
      </c>
      <c r="P5" s="386" t="s">
        <v>1179</v>
      </c>
      <c r="Q5" s="369" t="s">
        <v>201</v>
      </c>
    </row>
    <row r="6" spans="1:27" ht="31.8" thickBot="1">
      <c r="A6" s="388" t="s">
        <v>1156</v>
      </c>
      <c r="B6" s="389">
        <v>140000</v>
      </c>
      <c r="C6" s="371" t="s">
        <v>1158</v>
      </c>
      <c r="D6" s="371">
        <f>B6*15/100</f>
        <v>21000</v>
      </c>
      <c r="E6" s="371">
        <f>B6-D6</f>
        <v>119000</v>
      </c>
      <c r="F6" s="371">
        <f>E6*15/100</f>
        <v>17850</v>
      </c>
      <c r="G6" s="371">
        <f>E6-F6</f>
        <v>101150</v>
      </c>
      <c r="H6" s="371">
        <f>G6*15/100</f>
        <v>15172.5</v>
      </c>
      <c r="I6" s="371">
        <f>G6-H6</f>
        <v>85977.5</v>
      </c>
      <c r="J6" s="371">
        <f>I6*15/100</f>
        <v>12896.625</v>
      </c>
      <c r="K6" s="371">
        <f>I6-J6</f>
        <v>73080.875</v>
      </c>
      <c r="L6" s="371">
        <f>K6*15/100</f>
        <v>10962.13125</v>
      </c>
      <c r="M6" s="371">
        <f>K6-L6</f>
        <v>62118.743750000001</v>
      </c>
      <c r="N6" s="371">
        <f>M6*15/100</f>
        <v>9317.8115624999991</v>
      </c>
      <c r="O6" s="371">
        <f>M6-N6</f>
        <v>52800.932187500002</v>
      </c>
      <c r="P6" s="371">
        <f>O6*7.5/100</f>
        <v>3960.0699140625006</v>
      </c>
      <c r="Q6" s="383">
        <f>O6-P6</f>
        <v>48840.862273437502</v>
      </c>
    </row>
    <row r="8" spans="1:27" ht="16.2" thickBot="1"/>
    <row r="9" spans="1:27" ht="78.599999999999994" thickBot="1">
      <c r="A9" s="366" t="s">
        <v>1180</v>
      </c>
      <c r="B9" s="368" t="s">
        <v>1182</v>
      </c>
      <c r="C9" s="368" t="s">
        <v>1181</v>
      </c>
      <c r="D9" s="386" t="s">
        <v>1183</v>
      </c>
      <c r="E9" s="368" t="s">
        <v>575</v>
      </c>
      <c r="F9" s="386" t="s">
        <v>1174</v>
      </c>
      <c r="G9" s="368" t="s">
        <v>575</v>
      </c>
      <c r="H9" s="386" t="s">
        <v>1175</v>
      </c>
      <c r="I9" s="368" t="s">
        <v>575</v>
      </c>
      <c r="J9" s="386" t="s">
        <v>1176</v>
      </c>
      <c r="K9" s="368" t="s">
        <v>575</v>
      </c>
      <c r="L9" s="386" t="s">
        <v>1177</v>
      </c>
      <c r="M9" s="368" t="s">
        <v>575</v>
      </c>
      <c r="N9" s="386" t="s">
        <v>1178</v>
      </c>
      <c r="O9" s="368" t="s">
        <v>575</v>
      </c>
      <c r="P9" s="386" t="s">
        <v>1184</v>
      </c>
      <c r="Q9" s="369" t="s">
        <v>201</v>
      </c>
    </row>
    <row r="10" spans="1:27" ht="47.4" thickBot="1">
      <c r="A10" s="387" t="s">
        <v>1161</v>
      </c>
      <c r="B10" s="371">
        <v>150000</v>
      </c>
      <c r="C10" s="385" t="s">
        <v>1168</v>
      </c>
      <c r="D10" s="371">
        <f>B10*15/100</f>
        <v>22500</v>
      </c>
      <c r="E10" s="371">
        <f>B10-D10</f>
        <v>127500</v>
      </c>
      <c r="F10" s="371">
        <f>E10*15/100</f>
        <v>19125</v>
      </c>
      <c r="G10" s="371">
        <f>E10-F10</f>
        <v>108375</v>
      </c>
      <c r="H10" s="371">
        <f>G10*15/100</f>
        <v>16256.25</v>
      </c>
      <c r="I10" s="371">
        <f>G10-H10</f>
        <v>92118.75</v>
      </c>
      <c r="J10" s="371">
        <f>I10*15/100</f>
        <v>13817.8125</v>
      </c>
      <c r="K10" s="371">
        <f>I10-J10</f>
        <v>78300.9375</v>
      </c>
      <c r="L10" s="371">
        <f>K10*15/100</f>
        <v>11745.140625</v>
      </c>
      <c r="M10" s="371">
        <f>K10-L10</f>
        <v>66555.796875</v>
      </c>
      <c r="N10" s="371">
        <f>M10*15/100</f>
        <v>9983.3695312500004</v>
      </c>
      <c r="O10" s="371">
        <f>M10-N10</f>
        <v>56572.427343750001</v>
      </c>
      <c r="P10" s="371">
        <f>O10*7.5/100</f>
        <v>4242.9320507812499</v>
      </c>
      <c r="Q10" s="383">
        <f>O10-P10</f>
        <v>52329.49529296875</v>
      </c>
    </row>
    <row r="12" spans="1:27" ht="16.2" thickBot="1"/>
    <row r="13" spans="1:27" ht="78.599999999999994" thickBot="1">
      <c r="A13" s="366" t="s">
        <v>1180</v>
      </c>
      <c r="B13" s="368" t="s">
        <v>1182</v>
      </c>
      <c r="C13" s="368" t="s">
        <v>1181</v>
      </c>
      <c r="D13" s="386" t="s">
        <v>1185</v>
      </c>
      <c r="E13" s="368" t="s">
        <v>575</v>
      </c>
      <c r="F13" s="386" t="s">
        <v>1174</v>
      </c>
      <c r="G13" s="368" t="s">
        <v>575</v>
      </c>
      <c r="H13" s="386" t="s">
        <v>1175</v>
      </c>
      <c r="I13" s="368" t="s">
        <v>575</v>
      </c>
      <c r="J13" s="386" t="s">
        <v>1176</v>
      </c>
      <c r="K13" s="368" t="s">
        <v>575</v>
      </c>
      <c r="L13" s="386" t="s">
        <v>1177</v>
      </c>
      <c r="M13" s="368" t="s">
        <v>575</v>
      </c>
      <c r="N13" s="386" t="s">
        <v>1178</v>
      </c>
      <c r="O13" s="368" t="s">
        <v>575</v>
      </c>
      <c r="P13" s="386" t="s">
        <v>1186</v>
      </c>
      <c r="Q13" s="369" t="s">
        <v>201</v>
      </c>
    </row>
    <row r="14" spans="1:27" ht="47.4" thickBot="1">
      <c r="A14" s="384" t="s">
        <v>1163</v>
      </c>
      <c r="B14" s="371">
        <v>150000</v>
      </c>
      <c r="C14" s="385" t="s">
        <v>1170</v>
      </c>
      <c r="D14" s="371">
        <f>B14*15/100</f>
        <v>22500</v>
      </c>
      <c r="E14" s="371">
        <f>B14-D14</f>
        <v>127500</v>
      </c>
      <c r="F14" s="371">
        <f>E14*15/100</f>
        <v>19125</v>
      </c>
      <c r="G14" s="371">
        <f>E14-F14</f>
        <v>108375</v>
      </c>
      <c r="H14" s="371">
        <f>G14*15/100</f>
        <v>16256.25</v>
      </c>
      <c r="I14" s="371">
        <f>G14-H14</f>
        <v>92118.75</v>
      </c>
      <c r="J14" s="371">
        <f>I14*15/100</f>
        <v>13817.8125</v>
      </c>
      <c r="K14" s="371">
        <f>I14-J14</f>
        <v>78300.9375</v>
      </c>
      <c r="L14" s="371">
        <f>K14*15/100</f>
        <v>11745.140625</v>
      </c>
      <c r="M14" s="371">
        <f>K14-L14</f>
        <v>66555.796875</v>
      </c>
      <c r="N14" s="371">
        <f>M14*15/100</f>
        <v>9983.3695312500004</v>
      </c>
      <c r="O14" s="371">
        <f>M14-N14</f>
        <v>56572.427343750001</v>
      </c>
      <c r="P14" s="371">
        <f>O14*7.5/100</f>
        <v>4242.9320507812499</v>
      </c>
      <c r="Q14" s="383">
        <f>O14-P14</f>
        <v>52329.49529296875</v>
      </c>
    </row>
    <row r="15" spans="1:27" ht="16.2" thickBot="1"/>
    <row r="16" spans="1:27" ht="78.599999999999994" thickBot="1">
      <c r="A16" s="366" t="s">
        <v>1180</v>
      </c>
      <c r="B16" s="368" t="s">
        <v>1182</v>
      </c>
      <c r="C16" s="368" t="s">
        <v>1181</v>
      </c>
      <c r="D16" s="386" t="s">
        <v>1187</v>
      </c>
      <c r="E16" s="368" t="s">
        <v>575</v>
      </c>
      <c r="F16" s="386" t="s">
        <v>1188</v>
      </c>
      <c r="G16" s="368" t="s">
        <v>575</v>
      </c>
      <c r="H16" s="386" t="s">
        <v>1189</v>
      </c>
      <c r="I16" s="368" t="s">
        <v>575</v>
      </c>
      <c r="J16" s="386" t="s">
        <v>1190</v>
      </c>
      <c r="K16" s="368" t="s">
        <v>575</v>
      </c>
      <c r="L16" s="386" t="s">
        <v>1191</v>
      </c>
      <c r="M16" s="368" t="s">
        <v>575</v>
      </c>
      <c r="N16" s="386" t="s">
        <v>1192</v>
      </c>
      <c r="O16" s="368" t="s">
        <v>575</v>
      </c>
      <c r="P16" s="386" t="s">
        <v>1174</v>
      </c>
      <c r="Q16" s="368" t="s">
        <v>201</v>
      </c>
      <c r="R16" s="386" t="s">
        <v>1175</v>
      </c>
      <c r="S16" s="368" t="s">
        <v>201</v>
      </c>
      <c r="T16" s="386" t="s">
        <v>1176</v>
      </c>
      <c r="U16" s="368" t="s">
        <v>201</v>
      </c>
      <c r="V16" s="386" t="s">
        <v>1177</v>
      </c>
      <c r="W16" s="368" t="s">
        <v>201</v>
      </c>
      <c r="X16" s="386" t="s">
        <v>1178</v>
      </c>
      <c r="Y16" s="368" t="s">
        <v>201</v>
      </c>
      <c r="Z16" s="386" t="s">
        <v>1186</v>
      </c>
      <c r="AA16" s="369" t="s">
        <v>201</v>
      </c>
    </row>
    <row r="17" spans="1:27" ht="31.8" thickBot="1">
      <c r="A17" s="384" t="s">
        <v>1165</v>
      </c>
      <c r="B17" s="385">
        <v>3977242.33</v>
      </c>
      <c r="C17" s="385" t="s">
        <v>1166</v>
      </c>
      <c r="D17" s="371">
        <f>B17*7.5/100</f>
        <v>298293.17475000001</v>
      </c>
      <c r="E17" s="371">
        <f>B17-D17</f>
        <v>3678949.1552499998</v>
      </c>
      <c r="F17" s="371">
        <f>E17*15/100</f>
        <v>551842.3732875</v>
      </c>
      <c r="G17" s="371">
        <f>E17-F17</f>
        <v>3127106.7819625</v>
      </c>
      <c r="H17" s="371">
        <f>G17*15/100</f>
        <v>469066.01729437499</v>
      </c>
      <c r="I17" s="371">
        <f>G17-H17</f>
        <v>2658040.7646681247</v>
      </c>
      <c r="J17" s="385">
        <f>I17*15/100</f>
        <v>398706.11470021872</v>
      </c>
      <c r="K17" s="371">
        <f>I17-J17</f>
        <v>2259334.6499679061</v>
      </c>
      <c r="L17" s="371">
        <f>K17*15/100</f>
        <v>338900.19749518589</v>
      </c>
      <c r="M17" s="371">
        <f>K17-L17</f>
        <v>1920434.4524727203</v>
      </c>
      <c r="N17" s="371">
        <f>M17*15/100</f>
        <v>288065.16787090804</v>
      </c>
      <c r="O17" s="371">
        <f>M17-N17</f>
        <v>1632369.2846018123</v>
      </c>
      <c r="P17" s="371">
        <f>O17*15/100</f>
        <v>244855.39269027184</v>
      </c>
      <c r="Q17" s="371">
        <f>O17-P17</f>
        <v>1387513.8919115404</v>
      </c>
      <c r="R17" s="371">
        <f>Q17*15/100</f>
        <v>208127.08378673106</v>
      </c>
      <c r="S17" s="371">
        <f>Q17-R17</f>
        <v>1179386.8081248093</v>
      </c>
      <c r="T17" s="371">
        <f>S17*15/100</f>
        <v>176908.02121872138</v>
      </c>
      <c r="U17" s="371">
        <f>S17-T17</f>
        <v>1002478.7869060879</v>
      </c>
      <c r="V17" s="371">
        <f>U17*15/100</f>
        <v>150371.81803591319</v>
      </c>
      <c r="W17" s="371">
        <f>U17-V17</f>
        <v>852106.96887017472</v>
      </c>
      <c r="X17" s="371">
        <f>W17*15/100</f>
        <v>127816.04533052622</v>
      </c>
      <c r="Y17" s="371">
        <f>W17-X17</f>
        <v>724290.92353964853</v>
      </c>
      <c r="Z17" s="371">
        <f>Y17*7.5/100</f>
        <v>54321.819265473641</v>
      </c>
      <c r="AA17" s="383">
        <f>Y17-Z17</f>
        <v>669969.1042741749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8" sqref="D28"/>
    </sheetView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Q44"/>
  <sheetViews>
    <sheetView view="pageBreakPreview" zoomScale="80" zoomScaleSheetLayoutView="80" workbookViewId="0">
      <selection activeCell="H25" sqref="H25"/>
    </sheetView>
  </sheetViews>
  <sheetFormatPr defaultColWidth="9.109375" defaultRowHeight="15.6"/>
  <cols>
    <col min="1" max="1" width="47.109375" style="69" customWidth="1"/>
    <col min="2" max="2" width="21.6640625" style="69" customWidth="1"/>
    <col min="3" max="3" width="18.88671875" style="69" customWidth="1"/>
    <col min="4" max="4" width="21.33203125" style="69" customWidth="1"/>
    <col min="5" max="5" width="18.33203125" style="69" customWidth="1"/>
    <col min="6" max="6" width="14.33203125" style="69" customWidth="1"/>
    <col min="7" max="7" width="15.44140625" style="69" bestFit="1" customWidth="1"/>
    <col min="8" max="16384" width="9.109375" style="69"/>
  </cols>
  <sheetData>
    <row r="1" spans="1:17" ht="26.25" customHeight="1">
      <c r="A1" s="584" t="s">
        <v>529</v>
      </c>
      <c r="B1" s="584"/>
      <c r="C1" s="584"/>
      <c r="D1" s="584"/>
      <c r="E1" s="584"/>
    </row>
    <row r="2" spans="1:17" ht="13.5" customHeight="1">
      <c r="A2" s="68"/>
      <c r="B2" s="68"/>
      <c r="C2" s="68"/>
      <c r="D2" s="68"/>
      <c r="E2" s="68"/>
    </row>
    <row r="3" spans="1:17">
      <c r="A3" s="594" t="s">
        <v>1415</v>
      </c>
      <c r="B3" s="594"/>
      <c r="C3" s="594"/>
      <c r="D3" s="594"/>
      <c r="E3" s="594"/>
      <c r="F3" s="89"/>
      <c r="G3" s="89"/>
    </row>
    <row r="4" spans="1:17" ht="16.2" thickBot="1">
      <c r="A4" s="71"/>
      <c r="B4" s="71"/>
      <c r="C4" s="71"/>
      <c r="D4" s="587" t="s">
        <v>1393</v>
      </c>
      <c r="E4" s="587"/>
    </row>
    <row r="5" spans="1:17" ht="16.2" thickBot="1">
      <c r="A5" s="258" t="s">
        <v>279</v>
      </c>
      <c r="B5" s="595" t="s">
        <v>420</v>
      </c>
      <c r="C5" s="591"/>
      <c r="D5" s="592" t="s">
        <v>421</v>
      </c>
      <c r="E5" s="593"/>
    </row>
    <row r="6" spans="1:17">
      <c r="A6" s="91" t="s">
        <v>26</v>
      </c>
      <c r="B6" s="457">
        <v>2650370957.1110315</v>
      </c>
      <c r="C6" s="224" t="s">
        <v>242</v>
      </c>
      <c r="D6" s="259">
        <v>2380198616.5078502</v>
      </c>
      <c r="E6" s="260" t="s">
        <v>242</v>
      </c>
      <c r="F6" s="92"/>
      <c r="G6" s="87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>
      <c r="A7" s="93" t="s">
        <v>528</v>
      </c>
      <c r="B7" s="74">
        <v>278500000</v>
      </c>
      <c r="C7" s="221" t="s">
        <v>242</v>
      </c>
      <c r="D7" s="74">
        <v>448500000</v>
      </c>
      <c r="E7" s="221" t="s">
        <v>242</v>
      </c>
      <c r="F7" s="94"/>
      <c r="G7" s="87"/>
      <c r="H7" s="71"/>
      <c r="I7" s="71"/>
      <c r="J7" s="71"/>
      <c r="K7" s="71"/>
      <c r="L7" s="71"/>
      <c r="M7" s="71"/>
      <c r="N7" s="71"/>
      <c r="O7" s="71"/>
      <c r="P7" s="71"/>
      <c r="Q7" s="71"/>
    </row>
    <row r="8" spans="1:17">
      <c r="A8" s="93" t="s">
        <v>991</v>
      </c>
      <c r="B8" s="74">
        <f>IE!C27</f>
        <v>-481724968.87999988</v>
      </c>
      <c r="C8" s="221" t="s">
        <v>242</v>
      </c>
      <c r="D8" s="74">
        <f>IE!D27</f>
        <v>-178327659.39681876</v>
      </c>
      <c r="E8" s="221" t="s">
        <v>242</v>
      </c>
      <c r="F8" s="87"/>
      <c r="G8" s="87"/>
      <c r="H8" s="71"/>
      <c r="I8" s="71"/>
      <c r="J8" s="71"/>
      <c r="K8" s="71"/>
      <c r="L8" s="71"/>
      <c r="M8" s="71"/>
      <c r="N8" s="71"/>
      <c r="O8" s="71"/>
      <c r="P8" s="71"/>
      <c r="Q8" s="71"/>
    </row>
    <row r="9" spans="1:17">
      <c r="A9" s="93" t="s">
        <v>562</v>
      </c>
      <c r="B9" s="122"/>
      <c r="C9" s="221"/>
      <c r="D9" s="122"/>
      <c r="E9" s="221"/>
      <c r="F9" s="92"/>
      <c r="G9" s="87"/>
      <c r="H9" s="71"/>
      <c r="I9" s="71"/>
      <c r="J9" s="71"/>
      <c r="K9" s="71"/>
      <c r="L9" s="71"/>
      <c r="M9" s="71"/>
      <c r="N9" s="71"/>
      <c r="O9" s="71"/>
      <c r="P9" s="71"/>
      <c r="Q9" s="71"/>
    </row>
    <row r="10" spans="1:17">
      <c r="A10" s="93" t="s">
        <v>978</v>
      </c>
      <c r="B10" s="122"/>
      <c r="C10" s="221"/>
      <c r="D10" s="74"/>
      <c r="E10" s="221"/>
      <c r="F10" s="92"/>
      <c r="G10" s="169"/>
      <c r="H10" s="71"/>
      <c r="I10" s="71"/>
      <c r="J10" s="71"/>
      <c r="K10" s="71"/>
      <c r="L10" s="71"/>
      <c r="M10" s="71"/>
      <c r="N10" s="71"/>
      <c r="O10" s="71"/>
      <c r="P10" s="71"/>
      <c r="Q10" s="71"/>
    </row>
    <row r="11" spans="1:17">
      <c r="A11" s="93"/>
      <c r="B11" s="102"/>
      <c r="C11" s="221"/>
      <c r="D11" s="76"/>
      <c r="E11" s="221"/>
      <c r="F11" s="92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 ht="16.2" thickBot="1">
      <c r="A12" s="95"/>
      <c r="B12" s="106"/>
      <c r="C12" s="222"/>
      <c r="D12" s="225"/>
      <c r="E12" s="222"/>
      <c r="F12" s="92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7" ht="16.2" thickBot="1">
      <c r="A13" s="79" t="s">
        <v>241</v>
      </c>
      <c r="B13" s="456"/>
      <c r="C13" s="208">
        <f>(B6+B7+B8+B10)</f>
        <v>2447145988.2310314</v>
      </c>
      <c r="D13" s="223"/>
      <c r="E13" s="208">
        <f>(D6+D7+D8+D10)</f>
        <v>2650370957.1110315</v>
      </c>
      <c r="F13" s="97"/>
      <c r="G13" s="98"/>
      <c r="H13" s="71"/>
      <c r="I13" s="71"/>
      <c r="J13" s="71"/>
      <c r="K13" s="71"/>
      <c r="L13" s="71"/>
      <c r="M13" s="71"/>
      <c r="N13" s="71"/>
      <c r="O13" s="71"/>
      <c r="P13" s="71"/>
      <c r="Q13" s="71"/>
    </row>
    <row r="14" spans="1:17" ht="16.2" thickBot="1">
      <c r="A14" s="364"/>
      <c r="B14" s="87"/>
      <c r="C14" s="71"/>
      <c r="D14" s="71"/>
      <c r="E14" s="363"/>
      <c r="G14" s="75"/>
    </row>
    <row r="15" spans="1:17" ht="16.2" thickBot="1">
      <c r="A15" s="90" t="s">
        <v>27</v>
      </c>
      <c r="B15" s="590" t="s">
        <v>420</v>
      </c>
      <c r="C15" s="591"/>
      <c r="D15" s="592" t="s">
        <v>421</v>
      </c>
      <c r="E15" s="593"/>
    </row>
    <row r="16" spans="1:17">
      <c r="A16" s="91" t="s">
        <v>7</v>
      </c>
      <c r="B16" s="226" t="s">
        <v>112</v>
      </c>
      <c r="C16" s="226" t="s">
        <v>112</v>
      </c>
      <c r="D16" s="226" t="s">
        <v>112</v>
      </c>
      <c r="E16" s="226" t="s">
        <v>112</v>
      </c>
    </row>
    <row r="17" spans="1:5">
      <c r="A17" s="93" t="s">
        <v>39</v>
      </c>
      <c r="B17" s="102" t="s">
        <v>242</v>
      </c>
      <c r="C17" s="102" t="s">
        <v>242</v>
      </c>
      <c r="D17" s="102" t="s">
        <v>242</v>
      </c>
      <c r="E17" s="102" t="s">
        <v>242</v>
      </c>
    </row>
    <row r="18" spans="1:5">
      <c r="A18" s="93" t="s">
        <v>38</v>
      </c>
      <c r="B18" s="102" t="s">
        <v>242</v>
      </c>
      <c r="C18" s="102" t="s">
        <v>242</v>
      </c>
      <c r="D18" s="102" t="s">
        <v>242</v>
      </c>
      <c r="E18" s="102" t="s">
        <v>242</v>
      </c>
    </row>
    <row r="19" spans="1:5">
      <c r="A19" s="93" t="s">
        <v>253</v>
      </c>
      <c r="B19" s="102" t="s">
        <v>242</v>
      </c>
      <c r="C19" s="102" t="s">
        <v>242</v>
      </c>
      <c r="D19" s="102" t="s">
        <v>242</v>
      </c>
      <c r="E19" s="102" t="s">
        <v>242</v>
      </c>
    </row>
    <row r="20" spans="1:5">
      <c r="A20" s="93" t="s">
        <v>10</v>
      </c>
      <c r="B20" s="102"/>
      <c r="C20" s="102" t="s">
        <v>112</v>
      </c>
      <c r="D20" s="102" t="s">
        <v>112</v>
      </c>
      <c r="E20" s="102" t="s">
        <v>112</v>
      </c>
    </row>
    <row r="21" spans="1:5">
      <c r="A21" s="93" t="s">
        <v>39</v>
      </c>
      <c r="B21" s="102" t="s">
        <v>242</v>
      </c>
      <c r="C21" s="102" t="s">
        <v>242</v>
      </c>
      <c r="D21" s="102" t="s">
        <v>242</v>
      </c>
      <c r="E21" s="102" t="s">
        <v>242</v>
      </c>
    </row>
    <row r="22" spans="1:5">
      <c r="A22" s="93" t="s">
        <v>38</v>
      </c>
      <c r="B22" s="102" t="s">
        <v>242</v>
      </c>
      <c r="C22" s="102" t="s">
        <v>242</v>
      </c>
      <c r="D22" s="102" t="s">
        <v>242</v>
      </c>
      <c r="E22" s="102" t="s">
        <v>242</v>
      </c>
    </row>
    <row r="23" spans="1:5">
      <c r="A23" s="93" t="s">
        <v>28</v>
      </c>
      <c r="B23" s="102" t="s">
        <v>242</v>
      </c>
      <c r="C23" s="102" t="s">
        <v>242</v>
      </c>
      <c r="D23" s="102" t="s">
        <v>242</v>
      </c>
      <c r="E23" s="102" t="s">
        <v>242</v>
      </c>
    </row>
    <row r="24" spans="1:5">
      <c r="A24" s="93" t="s">
        <v>9</v>
      </c>
      <c r="B24" s="102" t="s">
        <v>112</v>
      </c>
      <c r="C24" s="102" t="s">
        <v>112</v>
      </c>
      <c r="D24" s="102" t="s">
        <v>112</v>
      </c>
      <c r="E24" s="102" t="s">
        <v>112</v>
      </c>
    </row>
    <row r="25" spans="1:5">
      <c r="A25" s="93" t="s">
        <v>39</v>
      </c>
      <c r="B25" s="102" t="s">
        <v>242</v>
      </c>
      <c r="C25" s="102" t="s">
        <v>242</v>
      </c>
      <c r="D25" s="102" t="s">
        <v>242</v>
      </c>
      <c r="E25" s="102" t="s">
        <v>242</v>
      </c>
    </row>
    <row r="26" spans="1:5">
      <c r="A26" s="93" t="s">
        <v>38</v>
      </c>
      <c r="B26" s="102" t="s">
        <v>242</v>
      </c>
      <c r="C26" s="102" t="s">
        <v>242</v>
      </c>
      <c r="D26" s="102" t="s">
        <v>242</v>
      </c>
      <c r="E26" s="102" t="s">
        <v>242</v>
      </c>
    </row>
    <row r="27" spans="1:5">
      <c r="A27" s="93" t="s">
        <v>28</v>
      </c>
      <c r="B27" s="102" t="s">
        <v>242</v>
      </c>
      <c r="C27" s="102" t="s">
        <v>242</v>
      </c>
      <c r="D27" s="102" t="s">
        <v>242</v>
      </c>
      <c r="E27" s="102" t="s">
        <v>242</v>
      </c>
    </row>
    <row r="28" spans="1:5">
      <c r="A28" s="93" t="s">
        <v>8</v>
      </c>
      <c r="B28" s="102" t="s">
        <v>112</v>
      </c>
      <c r="C28" s="102" t="s">
        <v>112</v>
      </c>
      <c r="D28" s="102" t="s">
        <v>112</v>
      </c>
      <c r="E28" s="102" t="s">
        <v>112</v>
      </c>
    </row>
    <row r="29" spans="1:5">
      <c r="A29" s="93" t="s">
        <v>39</v>
      </c>
      <c r="B29" s="102" t="s">
        <v>242</v>
      </c>
      <c r="C29" s="102" t="s">
        <v>242</v>
      </c>
      <c r="D29" s="102" t="s">
        <v>242</v>
      </c>
      <c r="E29" s="102" t="s">
        <v>242</v>
      </c>
    </row>
    <row r="30" spans="1:5">
      <c r="A30" s="93" t="s">
        <v>38</v>
      </c>
      <c r="B30" s="102" t="s">
        <v>242</v>
      </c>
      <c r="C30" s="102" t="s">
        <v>242</v>
      </c>
      <c r="D30" s="102" t="s">
        <v>242</v>
      </c>
      <c r="E30" s="102" t="s">
        <v>242</v>
      </c>
    </row>
    <row r="31" spans="1:5" ht="16.2" thickBot="1">
      <c r="A31" s="95" t="s">
        <v>28</v>
      </c>
      <c r="B31" s="103" t="s">
        <v>242</v>
      </c>
      <c r="C31" s="103" t="s">
        <v>242</v>
      </c>
      <c r="D31" s="103" t="s">
        <v>242</v>
      </c>
      <c r="E31" s="103" t="s">
        <v>242</v>
      </c>
    </row>
    <row r="32" spans="1:5" ht="16.2" thickBot="1">
      <c r="A32" s="96" t="s">
        <v>422</v>
      </c>
      <c r="B32" s="104" t="s">
        <v>242</v>
      </c>
      <c r="C32" s="104" t="s">
        <v>242</v>
      </c>
      <c r="D32" s="104" t="s">
        <v>242</v>
      </c>
      <c r="E32" s="104" t="s">
        <v>242</v>
      </c>
    </row>
    <row r="36" spans="1:5" ht="15.75" customHeight="1">
      <c r="A36" s="586" t="s">
        <v>1200</v>
      </c>
      <c r="B36" s="586"/>
      <c r="C36" s="584" t="s">
        <v>1199</v>
      </c>
      <c r="D36" s="584"/>
      <c r="E36" s="584"/>
    </row>
    <row r="37" spans="1:5">
      <c r="A37" s="586"/>
      <c r="B37" s="586"/>
      <c r="C37" s="584"/>
      <c r="D37" s="584"/>
      <c r="E37" s="584"/>
    </row>
    <row r="38" spans="1:5">
      <c r="A38" s="586"/>
      <c r="B38" s="586"/>
      <c r="C38" s="584"/>
      <c r="D38" s="584"/>
      <c r="E38" s="584"/>
    </row>
    <row r="39" spans="1:5">
      <c r="A39" s="583" t="s">
        <v>1025</v>
      </c>
      <c r="B39" s="583"/>
      <c r="C39" s="583"/>
      <c r="D39" s="583"/>
      <c r="E39" s="583"/>
    </row>
    <row r="44" spans="1:5">
      <c r="A44" s="75"/>
    </row>
  </sheetData>
  <mergeCells count="10">
    <mergeCell ref="A39:E39"/>
    <mergeCell ref="B15:C15"/>
    <mergeCell ref="D15:E15"/>
    <mergeCell ref="A3:E3"/>
    <mergeCell ref="A1:E1"/>
    <mergeCell ref="B5:C5"/>
    <mergeCell ref="D5:E5"/>
    <mergeCell ref="D4:E4"/>
    <mergeCell ref="C36:E38"/>
    <mergeCell ref="A36:B38"/>
  </mergeCells>
  <phoneticPr fontId="0" type="noConversion"/>
  <printOptions horizontalCentered="1"/>
  <pageMargins left="0.23622047244094491" right="0.23622047244094491" top="0.31496062992125984" bottom="0.31496062992125984" header="0.15" footer="0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9"/>
  <dimension ref="A1:G36"/>
  <sheetViews>
    <sheetView view="pageBreakPreview" zoomScale="90" zoomScaleSheetLayoutView="90" workbookViewId="0">
      <selection activeCell="H9" sqref="H9"/>
    </sheetView>
  </sheetViews>
  <sheetFormatPr defaultColWidth="9.109375" defaultRowHeight="15.6"/>
  <cols>
    <col min="1" max="1" width="67.109375" style="69" customWidth="1"/>
    <col min="2" max="5" width="9.109375" style="69"/>
    <col min="6" max="6" width="12.6640625" style="69" customWidth="1"/>
    <col min="7" max="7" width="13.44140625" style="69" customWidth="1"/>
    <col min="8" max="16384" width="9.109375" style="69"/>
  </cols>
  <sheetData>
    <row r="1" spans="1:7" ht="21.75" customHeight="1">
      <c r="A1" s="597" t="s">
        <v>262</v>
      </c>
      <c r="B1" s="597"/>
      <c r="C1" s="597"/>
      <c r="D1" s="597"/>
      <c r="E1" s="597"/>
      <c r="F1" s="597"/>
      <c r="G1" s="597"/>
    </row>
    <row r="2" spans="1:7" ht="16.5" customHeight="1">
      <c r="A2" s="68"/>
      <c r="B2" s="68"/>
      <c r="C2" s="68"/>
      <c r="D2" s="68"/>
      <c r="E2" s="68"/>
      <c r="F2" s="68"/>
      <c r="G2" s="68"/>
    </row>
    <row r="3" spans="1:7" ht="15.75" customHeight="1">
      <c r="A3" s="594" t="s">
        <v>1415</v>
      </c>
      <c r="B3" s="594"/>
      <c r="C3" s="594"/>
      <c r="D3" s="594"/>
      <c r="E3" s="594"/>
      <c r="F3" s="594"/>
      <c r="G3" s="594"/>
    </row>
    <row r="4" spans="1:7">
      <c r="F4" s="598" t="s">
        <v>1393</v>
      </c>
      <c r="G4" s="598"/>
    </row>
    <row r="5" spans="1:7" ht="16.2" thickBot="1">
      <c r="F5" s="87"/>
      <c r="G5" s="87"/>
    </row>
    <row r="6" spans="1:7" ht="16.2" thickBot="1">
      <c r="A6" s="96" t="s">
        <v>40</v>
      </c>
      <c r="B6" s="590" t="s">
        <v>123</v>
      </c>
      <c r="C6" s="596"/>
      <c r="D6" s="596"/>
      <c r="E6" s="591"/>
      <c r="F6" s="590" t="s">
        <v>422</v>
      </c>
      <c r="G6" s="591"/>
    </row>
    <row r="7" spans="1:7" ht="16.2" thickBot="1">
      <c r="A7" s="91"/>
      <c r="B7" s="90" t="s">
        <v>119</v>
      </c>
      <c r="C7" s="258" t="s">
        <v>120</v>
      </c>
      <c r="D7" s="258" t="s">
        <v>121</v>
      </c>
      <c r="E7" s="258" t="s">
        <v>122</v>
      </c>
      <c r="F7" s="258" t="s">
        <v>420</v>
      </c>
      <c r="G7" s="258" t="s">
        <v>421</v>
      </c>
    </row>
    <row r="8" spans="1:7">
      <c r="A8" s="93" t="s">
        <v>41</v>
      </c>
      <c r="B8" s="272" t="s">
        <v>242</v>
      </c>
      <c r="C8" s="101" t="s">
        <v>242</v>
      </c>
      <c r="D8" s="101" t="s">
        <v>242</v>
      </c>
      <c r="E8" s="101" t="s">
        <v>242</v>
      </c>
      <c r="F8" s="101" t="s">
        <v>242</v>
      </c>
      <c r="G8" s="101" t="s">
        <v>242</v>
      </c>
    </row>
    <row r="9" spans="1:7">
      <c r="A9" s="93" t="s">
        <v>42</v>
      </c>
      <c r="B9" s="273" t="s">
        <v>242</v>
      </c>
      <c r="C9" s="102" t="s">
        <v>242</v>
      </c>
      <c r="D9" s="102" t="s">
        <v>242</v>
      </c>
      <c r="E9" s="102" t="s">
        <v>242</v>
      </c>
      <c r="F9" s="102" t="s">
        <v>242</v>
      </c>
      <c r="G9" s="102" t="s">
        <v>242</v>
      </c>
    </row>
    <row r="10" spans="1:7">
      <c r="A10" s="93" t="s">
        <v>43</v>
      </c>
      <c r="B10" s="273" t="s">
        <v>242</v>
      </c>
      <c r="C10" s="102" t="s">
        <v>242</v>
      </c>
      <c r="D10" s="102" t="s">
        <v>242</v>
      </c>
      <c r="E10" s="102" t="s">
        <v>242</v>
      </c>
      <c r="F10" s="102" t="s">
        <v>242</v>
      </c>
      <c r="G10" s="102" t="s">
        <v>242</v>
      </c>
    </row>
    <row r="11" spans="1:7">
      <c r="A11" s="93" t="s">
        <v>1383</v>
      </c>
      <c r="B11" s="273" t="s">
        <v>242</v>
      </c>
      <c r="C11" s="102" t="s">
        <v>242</v>
      </c>
      <c r="D11" s="102" t="s">
        <v>242</v>
      </c>
      <c r="E11" s="102" t="s">
        <v>242</v>
      </c>
      <c r="F11" s="102" t="s">
        <v>242</v>
      </c>
      <c r="G11" s="102" t="s">
        <v>242</v>
      </c>
    </row>
    <row r="12" spans="1:7">
      <c r="A12" s="93" t="s">
        <v>1384</v>
      </c>
      <c r="B12" s="273" t="s">
        <v>242</v>
      </c>
      <c r="C12" s="102" t="s">
        <v>242</v>
      </c>
      <c r="D12" s="102" t="s">
        <v>242</v>
      </c>
      <c r="E12" s="102" t="s">
        <v>242</v>
      </c>
      <c r="F12" s="102" t="s">
        <v>242</v>
      </c>
      <c r="G12" s="102" t="s">
        <v>242</v>
      </c>
    </row>
    <row r="13" spans="1:7">
      <c r="A13" s="93"/>
      <c r="B13" s="273" t="s">
        <v>112</v>
      </c>
      <c r="C13" s="102" t="s">
        <v>112</v>
      </c>
      <c r="D13" s="102" t="s">
        <v>112</v>
      </c>
      <c r="E13" s="102" t="s">
        <v>112</v>
      </c>
      <c r="F13" s="102" t="s">
        <v>112</v>
      </c>
      <c r="G13" s="102" t="s">
        <v>112</v>
      </c>
    </row>
    <row r="14" spans="1:7">
      <c r="A14" s="126" t="s">
        <v>44</v>
      </c>
      <c r="B14" s="273" t="s">
        <v>112</v>
      </c>
      <c r="C14" s="102" t="s">
        <v>112</v>
      </c>
      <c r="D14" s="102" t="s">
        <v>112</v>
      </c>
      <c r="E14" s="102" t="s">
        <v>112</v>
      </c>
      <c r="F14" s="102" t="s">
        <v>112</v>
      </c>
      <c r="G14" s="102" t="s">
        <v>112</v>
      </c>
    </row>
    <row r="15" spans="1:7">
      <c r="A15" s="93"/>
      <c r="B15" s="273" t="s">
        <v>112</v>
      </c>
      <c r="C15" s="102" t="s">
        <v>112</v>
      </c>
      <c r="D15" s="102" t="s">
        <v>112</v>
      </c>
      <c r="E15" s="102" t="s">
        <v>112</v>
      </c>
      <c r="F15" s="102" t="s">
        <v>112</v>
      </c>
      <c r="G15" s="102" t="s">
        <v>112</v>
      </c>
    </row>
    <row r="16" spans="1:7">
      <c r="A16" s="93" t="s">
        <v>45</v>
      </c>
      <c r="B16" s="273" t="s">
        <v>112</v>
      </c>
      <c r="C16" s="102" t="s">
        <v>112</v>
      </c>
      <c r="D16" s="102" t="s">
        <v>112</v>
      </c>
      <c r="E16" s="102" t="s">
        <v>112</v>
      </c>
      <c r="F16" s="102" t="s">
        <v>112</v>
      </c>
      <c r="G16" s="102"/>
    </row>
    <row r="17" spans="1:7">
      <c r="A17" s="93" t="s">
        <v>46</v>
      </c>
      <c r="B17" s="273" t="s">
        <v>112</v>
      </c>
      <c r="C17" s="102" t="s">
        <v>112</v>
      </c>
      <c r="D17" s="102" t="s">
        <v>112</v>
      </c>
      <c r="E17" s="102" t="s">
        <v>112</v>
      </c>
      <c r="F17" s="102" t="s">
        <v>112</v>
      </c>
      <c r="G17" s="102" t="s">
        <v>112</v>
      </c>
    </row>
    <row r="18" spans="1:7">
      <c r="A18" s="93" t="s">
        <v>47</v>
      </c>
      <c r="B18" s="273" t="s">
        <v>242</v>
      </c>
      <c r="C18" s="102" t="s">
        <v>242</v>
      </c>
      <c r="D18" s="102" t="s">
        <v>242</v>
      </c>
      <c r="E18" s="102" t="s">
        <v>242</v>
      </c>
      <c r="F18" s="102" t="s">
        <v>242</v>
      </c>
      <c r="G18" s="102" t="s">
        <v>242</v>
      </c>
    </row>
    <row r="19" spans="1:7">
      <c r="A19" s="93" t="s">
        <v>48</v>
      </c>
      <c r="B19" s="273" t="s">
        <v>242</v>
      </c>
      <c r="C19" s="102" t="s">
        <v>242</v>
      </c>
      <c r="D19" s="102" t="s">
        <v>242</v>
      </c>
      <c r="E19" s="102" t="s">
        <v>242</v>
      </c>
      <c r="F19" s="102" t="s">
        <v>242</v>
      </c>
      <c r="G19" s="102" t="s">
        <v>242</v>
      </c>
    </row>
    <row r="20" spans="1:7">
      <c r="A20" s="126" t="s">
        <v>49</v>
      </c>
      <c r="B20" s="273" t="s">
        <v>242</v>
      </c>
      <c r="C20" s="102" t="s">
        <v>242</v>
      </c>
      <c r="D20" s="102" t="s">
        <v>242</v>
      </c>
      <c r="E20" s="102" t="s">
        <v>242</v>
      </c>
      <c r="F20" s="102" t="s">
        <v>242</v>
      </c>
      <c r="G20" s="102" t="s">
        <v>242</v>
      </c>
    </row>
    <row r="21" spans="1:7">
      <c r="A21" s="93" t="s">
        <v>50</v>
      </c>
      <c r="B21" s="273" t="s">
        <v>112</v>
      </c>
      <c r="C21" s="102" t="s">
        <v>112</v>
      </c>
      <c r="D21" s="102" t="s">
        <v>112</v>
      </c>
      <c r="E21" s="102" t="s">
        <v>112</v>
      </c>
      <c r="F21" s="102" t="s">
        <v>112</v>
      </c>
      <c r="G21" s="102" t="s">
        <v>242</v>
      </c>
    </row>
    <row r="22" spans="1:7">
      <c r="A22" s="93" t="s">
        <v>51</v>
      </c>
      <c r="B22" s="273" t="s">
        <v>242</v>
      </c>
      <c r="C22" s="102" t="s">
        <v>242</v>
      </c>
      <c r="D22" s="102" t="s">
        <v>242</v>
      </c>
      <c r="E22" s="102" t="s">
        <v>242</v>
      </c>
      <c r="F22" s="102" t="s">
        <v>242</v>
      </c>
      <c r="G22" s="102" t="s">
        <v>242</v>
      </c>
    </row>
    <row r="23" spans="1:7">
      <c r="A23" s="93" t="s">
        <v>56</v>
      </c>
      <c r="B23" s="273" t="s">
        <v>242</v>
      </c>
      <c r="C23" s="102" t="s">
        <v>242</v>
      </c>
      <c r="D23" s="102" t="s">
        <v>242</v>
      </c>
      <c r="E23" s="102" t="s">
        <v>242</v>
      </c>
      <c r="F23" s="102" t="s">
        <v>242</v>
      </c>
      <c r="G23" s="102" t="s">
        <v>242</v>
      </c>
    </row>
    <row r="24" spans="1:7">
      <c r="A24" s="93" t="s">
        <v>57</v>
      </c>
      <c r="B24" s="273" t="s">
        <v>242</v>
      </c>
      <c r="C24" s="102" t="s">
        <v>242</v>
      </c>
      <c r="D24" s="102" t="s">
        <v>242</v>
      </c>
      <c r="E24" s="102" t="s">
        <v>242</v>
      </c>
      <c r="F24" s="102" t="s">
        <v>242</v>
      </c>
      <c r="G24" s="102" t="s">
        <v>242</v>
      </c>
    </row>
    <row r="25" spans="1:7">
      <c r="A25" s="126" t="s">
        <v>52</v>
      </c>
      <c r="B25" s="273" t="s">
        <v>242</v>
      </c>
      <c r="C25" s="102" t="s">
        <v>242</v>
      </c>
      <c r="D25" s="102" t="s">
        <v>242</v>
      </c>
      <c r="E25" s="102" t="s">
        <v>242</v>
      </c>
      <c r="F25" s="102" t="s">
        <v>242</v>
      </c>
      <c r="G25" s="102" t="s">
        <v>242</v>
      </c>
    </row>
    <row r="26" spans="1:7" ht="16.2" thickBot="1">
      <c r="A26" s="127" t="s">
        <v>413</v>
      </c>
      <c r="B26" s="274" t="s">
        <v>242</v>
      </c>
      <c r="C26" s="103" t="s">
        <v>242</v>
      </c>
      <c r="D26" s="103" t="s">
        <v>242</v>
      </c>
      <c r="E26" s="103" t="s">
        <v>242</v>
      </c>
      <c r="F26" s="103" t="s">
        <v>242</v>
      </c>
      <c r="G26" s="106" t="s">
        <v>242</v>
      </c>
    </row>
    <row r="27" spans="1:7" ht="16.2" thickBot="1">
      <c r="A27" s="90" t="s">
        <v>58</v>
      </c>
      <c r="B27" s="275" t="s">
        <v>242</v>
      </c>
      <c r="C27" s="104" t="s">
        <v>242</v>
      </c>
      <c r="D27" s="104" t="s">
        <v>242</v>
      </c>
      <c r="E27" s="104" t="s">
        <v>242</v>
      </c>
      <c r="F27" s="104" t="s">
        <v>242</v>
      </c>
      <c r="G27" s="270" t="s">
        <v>242</v>
      </c>
    </row>
    <row r="28" spans="1:7">
      <c r="A28" s="97"/>
      <c r="B28" s="87"/>
      <c r="C28" s="87"/>
      <c r="D28" s="87"/>
      <c r="E28" s="87"/>
      <c r="F28" s="87"/>
      <c r="G28" s="87"/>
    </row>
    <row r="29" spans="1:7" ht="18">
      <c r="A29" s="128" t="s">
        <v>519</v>
      </c>
      <c r="B29" s="87" t="s">
        <v>112</v>
      </c>
      <c r="C29" s="87" t="s">
        <v>112</v>
      </c>
      <c r="D29" s="87" t="s">
        <v>112</v>
      </c>
      <c r="E29" s="87" t="s">
        <v>112</v>
      </c>
      <c r="F29" s="87" t="s">
        <v>112</v>
      </c>
      <c r="G29" s="87" t="s">
        <v>112</v>
      </c>
    </row>
    <row r="30" spans="1:7">
      <c r="A30" s="71" t="s">
        <v>414</v>
      </c>
      <c r="B30" s="87" t="s">
        <v>112</v>
      </c>
      <c r="C30" s="87" t="s">
        <v>112</v>
      </c>
      <c r="D30" s="87" t="s">
        <v>112</v>
      </c>
      <c r="E30" s="87" t="s">
        <v>112</v>
      </c>
      <c r="F30" s="87" t="s">
        <v>112</v>
      </c>
      <c r="G30" s="87" t="s">
        <v>112</v>
      </c>
    </row>
    <row r="31" spans="1:7">
      <c r="A31" s="71" t="s">
        <v>520</v>
      </c>
      <c r="B31" s="87" t="s">
        <v>112</v>
      </c>
      <c r="C31" s="87" t="s">
        <v>112</v>
      </c>
      <c r="D31" s="87" t="s">
        <v>112</v>
      </c>
      <c r="E31" s="87" t="s">
        <v>112</v>
      </c>
      <c r="F31" s="87" t="s">
        <v>112</v>
      </c>
      <c r="G31" s="87" t="s">
        <v>112</v>
      </c>
    </row>
    <row r="32" spans="1:7">
      <c r="A32" s="71" t="s">
        <v>79</v>
      </c>
      <c r="B32" s="87" t="s">
        <v>112</v>
      </c>
      <c r="C32" s="87" t="s">
        <v>112</v>
      </c>
      <c r="D32" s="87" t="s">
        <v>112</v>
      </c>
      <c r="E32" s="87" t="s">
        <v>243</v>
      </c>
      <c r="F32" s="87" t="s">
        <v>112</v>
      </c>
      <c r="G32" s="87" t="s">
        <v>112</v>
      </c>
    </row>
    <row r="33" spans="1:7">
      <c r="A33" s="71" t="s">
        <v>80</v>
      </c>
      <c r="B33" s="87" t="s">
        <v>112</v>
      </c>
      <c r="C33" s="87" t="s">
        <v>112</v>
      </c>
      <c r="D33" s="87" t="s">
        <v>112</v>
      </c>
      <c r="E33" s="87" t="s">
        <v>112</v>
      </c>
      <c r="F33" s="87" t="s">
        <v>112</v>
      </c>
      <c r="G33" s="87" t="s">
        <v>112</v>
      </c>
    </row>
    <row r="34" spans="1:7">
      <c r="A34" s="71" t="s">
        <v>81</v>
      </c>
      <c r="B34" s="87" t="s">
        <v>112</v>
      </c>
      <c r="C34" s="87" t="s">
        <v>112</v>
      </c>
      <c r="D34" s="87" t="s">
        <v>112</v>
      </c>
      <c r="E34" s="87" t="s">
        <v>112</v>
      </c>
      <c r="F34" s="87" t="s">
        <v>112</v>
      </c>
      <c r="G34" s="87" t="s">
        <v>112</v>
      </c>
    </row>
    <row r="36" spans="1:7">
      <c r="A36" s="583" t="s">
        <v>1026</v>
      </c>
      <c r="B36" s="583"/>
      <c r="C36" s="583"/>
      <c r="D36" s="583"/>
      <c r="E36" s="583"/>
      <c r="F36" s="583"/>
      <c r="G36" s="583"/>
    </row>
  </sheetData>
  <mergeCells count="6">
    <mergeCell ref="A36:G36"/>
    <mergeCell ref="F6:G6"/>
    <mergeCell ref="B6:E6"/>
    <mergeCell ref="A1:G1"/>
    <mergeCell ref="A3:G3"/>
    <mergeCell ref="F4:G4"/>
  </mergeCells>
  <phoneticPr fontId="0" type="noConversion"/>
  <printOptions horizontalCentered="1"/>
  <pageMargins left="1" right="0.5" top="0.38" bottom="0.47" header="0" footer="0"/>
  <pageSetup paperSize="9" scale="9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tabColor rgb="FFFFFF00"/>
  </sheetPr>
  <dimension ref="A1:K605"/>
  <sheetViews>
    <sheetView view="pageBreakPreview" topLeftCell="B73" zoomScale="85" zoomScaleNormal="85" zoomScaleSheetLayoutView="85" workbookViewId="0">
      <selection activeCell="C70" sqref="C70:C84"/>
    </sheetView>
  </sheetViews>
  <sheetFormatPr defaultColWidth="9.109375" defaultRowHeight="15.6"/>
  <cols>
    <col min="1" max="1" width="3.5546875" style="228" customWidth="1"/>
    <col min="2" max="2" width="61.6640625" style="67" customWidth="1"/>
    <col min="3" max="3" width="18.88671875" style="65" customWidth="1"/>
    <col min="4" max="4" width="17.6640625" style="65" customWidth="1"/>
    <col min="5" max="5" width="0.44140625" style="65" customWidth="1"/>
    <col min="6" max="6" width="3.109375" style="65" customWidth="1"/>
    <col min="7" max="7" width="68.6640625" style="67" customWidth="1"/>
    <col min="8" max="8" width="18.88671875" style="65" customWidth="1"/>
    <col min="9" max="9" width="18.33203125" style="65" customWidth="1"/>
    <col min="10" max="10" width="14" style="57" customWidth="1"/>
    <col min="11" max="16384" width="9.109375" style="57"/>
  </cols>
  <sheetData>
    <row r="1" spans="1:9" ht="15.75" customHeight="1">
      <c r="A1" s="599" t="s">
        <v>381</v>
      </c>
      <c r="B1" s="600"/>
      <c r="C1" s="600"/>
      <c r="D1" s="600"/>
      <c r="E1" s="600"/>
      <c r="F1" s="600"/>
      <c r="G1" s="600"/>
      <c r="H1" s="600"/>
      <c r="I1" s="601"/>
    </row>
    <row r="2" spans="1:9">
      <c r="A2" s="602"/>
      <c r="B2" s="603"/>
      <c r="C2" s="603"/>
      <c r="D2" s="603"/>
      <c r="E2" s="603"/>
      <c r="F2" s="603"/>
      <c r="G2" s="603"/>
      <c r="H2" s="603"/>
      <c r="I2" s="604"/>
    </row>
    <row r="3" spans="1:9" ht="15.75" customHeight="1" thickBot="1">
      <c r="A3" s="605"/>
      <c r="B3" s="606"/>
      <c r="C3" s="606"/>
      <c r="D3" s="606"/>
      <c r="E3" s="606"/>
      <c r="F3" s="606"/>
      <c r="G3" s="606"/>
      <c r="H3" s="606"/>
      <c r="I3" s="607"/>
    </row>
    <row r="4" spans="1:9">
      <c r="A4" s="599" t="s">
        <v>1414</v>
      </c>
      <c r="B4" s="600"/>
      <c r="C4" s="600"/>
      <c r="D4" s="600"/>
      <c r="E4" s="600"/>
      <c r="F4" s="600"/>
      <c r="G4" s="600"/>
      <c r="H4" s="600"/>
      <c r="I4" s="601"/>
    </row>
    <row r="5" spans="1:9">
      <c r="A5" s="602"/>
      <c r="B5" s="603"/>
      <c r="C5" s="603"/>
      <c r="D5" s="603"/>
      <c r="E5" s="603"/>
      <c r="F5" s="603"/>
      <c r="G5" s="603"/>
      <c r="H5" s="603"/>
      <c r="I5" s="604"/>
    </row>
    <row r="6" spans="1:9" ht="16.2" thickBot="1">
      <c r="A6" s="612"/>
      <c r="B6" s="613"/>
      <c r="C6" s="613"/>
      <c r="D6" s="613"/>
      <c r="E6" s="613"/>
      <c r="F6" s="613"/>
      <c r="G6" s="613"/>
      <c r="H6" s="613"/>
      <c r="I6" s="614"/>
    </row>
    <row r="7" spans="1:9" ht="16.2" thickBot="1">
      <c r="A7" s="608" t="s">
        <v>237</v>
      </c>
      <c r="B7" s="609"/>
      <c r="C7" s="464" t="s">
        <v>420</v>
      </c>
      <c r="D7" s="427" t="s">
        <v>421</v>
      </c>
      <c r="E7" s="615"/>
      <c r="F7" s="608" t="s">
        <v>238</v>
      </c>
      <c r="G7" s="609"/>
      <c r="H7" s="466" t="s">
        <v>420</v>
      </c>
      <c r="I7" s="427" t="s">
        <v>421</v>
      </c>
    </row>
    <row r="8" spans="1:9">
      <c r="A8" s="619" t="s">
        <v>3</v>
      </c>
      <c r="B8" s="620"/>
      <c r="C8" s="194"/>
      <c r="D8" s="352"/>
      <c r="E8" s="616"/>
      <c r="F8" s="610" t="s">
        <v>61</v>
      </c>
      <c r="G8" s="611"/>
      <c r="H8" s="194"/>
      <c r="I8" s="465"/>
    </row>
    <row r="9" spans="1:9">
      <c r="A9" s="60"/>
      <c r="B9" s="410" t="s">
        <v>539</v>
      </c>
      <c r="C9" s="58"/>
      <c r="D9" s="449"/>
      <c r="E9" s="616"/>
      <c r="F9" s="248"/>
      <c r="G9" s="286" t="s">
        <v>486</v>
      </c>
      <c r="H9" s="58"/>
      <c r="I9" s="190"/>
    </row>
    <row r="10" spans="1:9">
      <c r="A10" s="60"/>
      <c r="B10" s="505" t="s">
        <v>703</v>
      </c>
      <c r="C10" s="190">
        <v>259</v>
      </c>
      <c r="D10" s="190">
        <v>87859</v>
      </c>
      <c r="E10" s="616"/>
      <c r="F10" s="60"/>
      <c r="G10" s="284" t="s">
        <v>763</v>
      </c>
      <c r="H10" s="58">
        <f>555977198+6671309</f>
        <v>562648507</v>
      </c>
      <c r="I10" s="190">
        <f>490102860+16274995</f>
        <v>506377855</v>
      </c>
    </row>
    <row r="11" spans="1:9">
      <c r="A11" s="60"/>
      <c r="B11" s="505" t="s">
        <v>701</v>
      </c>
      <c r="C11" s="190">
        <v>45841</v>
      </c>
      <c r="D11" s="190">
        <v>8071</v>
      </c>
      <c r="E11" s="616"/>
      <c r="F11" s="60"/>
      <c r="G11" s="284" t="s">
        <v>764</v>
      </c>
      <c r="H11" s="58">
        <v>283900</v>
      </c>
      <c r="I11" s="190">
        <v>416000</v>
      </c>
    </row>
    <row r="12" spans="1:9">
      <c r="A12" s="60"/>
      <c r="B12" s="284" t="s">
        <v>369</v>
      </c>
      <c r="C12" s="58">
        <v>30000</v>
      </c>
      <c r="D12" s="190">
        <v>30000</v>
      </c>
      <c r="E12" s="616"/>
      <c r="F12" s="60"/>
      <c r="G12" s="284" t="s">
        <v>5</v>
      </c>
      <c r="H12" s="58">
        <f>3130058+147170</f>
        <v>3277228</v>
      </c>
      <c r="I12" s="190">
        <f>2094064+51111</f>
        <v>2145175</v>
      </c>
    </row>
    <row r="13" spans="1:9">
      <c r="A13" s="60"/>
      <c r="B13" s="505" t="s">
        <v>310</v>
      </c>
      <c r="C13" s="186" t="s">
        <v>242</v>
      </c>
      <c r="D13" s="190">
        <v>1922</v>
      </c>
      <c r="E13" s="616"/>
      <c r="F13" s="60"/>
      <c r="G13" s="284" t="s">
        <v>6</v>
      </c>
      <c r="H13" s="58">
        <f>17423532+78848</f>
        <v>17502380</v>
      </c>
      <c r="I13" s="190">
        <f>15236864+11331</f>
        <v>15248195</v>
      </c>
    </row>
    <row r="14" spans="1:9">
      <c r="A14" s="60"/>
      <c r="B14" s="58" t="s">
        <v>702</v>
      </c>
      <c r="C14" s="186" t="s">
        <v>242</v>
      </c>
      <c r="D14" s="186" t="s">
        <v>242</v>
      </c>
      <c r="E14" s="616"/>
      <c r="F14" s="60"/>
      <c r="G14" s="284" t="s">
        <v>765</v>
      </c>
      <c r="H14" s="58">
        <f>65775698</f>
        <v>65775698</v>
      </c>
      <c r="I14" s="190">
        <v>52376304</v>
      </c>
    </row>
    <row r="15" spans="1:9">
      <c r="A15" s="60"/>
      <c r="B15" s="58" t="s">
        <v>912</v>
      </c>
      <c r="C15" s="190">
        <v>80500</v>
      </c>
      <c r="D15" s="190">
        <v>62500</v>
      </c>
      <c r="E15" s="616"/>
      <c r="F15" s="60"/>
      <c r="G15" s="284" t="s">
        <v>373</v>
      </c>
      <c r="H15" s="58">
        <f>28342829</f>
        <v>28342829</v>
      </c>
      <c r="I15" s="190">
        <v>23433697</v>
      </c>
    </row>
    <row r="16" spans="1:9">
      <c r="A16" s="60"/>
      <c r="B16" s="505"/>
      <c r="C16" s="190"/>
      <c r="D16" s="190"/>
      <c r="E16" s="616"/>
      <c r="F16" s="60"/>
      <c r="G16" s="284" t="s">
        <v>1202</v>
      </c>
      <c r="H16" s="58">
        <f>11155794</f>
        <v>11155794</v>
      </c>
      <c r="I16" s="190">
        <v>6910796</v>
      </c>
    </row>
    <row r="17" spans="1:9">
      <c r="A17" s="60"/>
      <c r="B17" s="409" t="s">
        <v>695</v>
      </c>
      <c r="C17" s="190"/>
      <c r="D17" s="190"/>
      <c r="E17" s="616"/>
      <c r="F17" s="60"/>
      <c r="G17" s="284"/>
      <c r="H17" s="58"/>
      <c r="I17" s="190"/>
    </row>
    <row r="18" spans="1:9">
      <c r="A18" s="60"/>
      <c r="B18" s="505" t="s">
        <v>710</v>
      </c>
      <c r="C18" s="190">
        <v>247010630.99000001</v>
      </c>
      <c r="D18" s="190">
        <v>64032849.990000002</v>
      </c>
      <c r="E18" s="616"/>
      <c r="F18" s="60"/>
      <c r="G18" s="410" t="s">
        <v>487</v>
      </c>
      <c r="H18" s="58"/>
      <c r="I18" s="190"/>
    </row>
    <row r="19" spans="1:9">
      <c r="A19" s="60"/>
      <c r="B19" s="505" t="s">
        <v>709</v>
      </c>
      <c r="C19" s="190">
        <f>180000000+28000000+15000000+17500000-500000</f>
        <v>240000000</v>
      </c>
      <c r="D19" s="190">
        <f>100000000+28000000-500000</f>
        <v>127500000</v>
      </c>
      <c r="E19" s="616"/>
      <c r="F19" s="60"/>
      <c r="G19" s="284" t="s">
        <v>789</v>
      </c>
      <c r="H19" s="58">
        <v>3194127</v>
      </c>
      <c r="I19" s="190">
        <v>2118611</v>
      </c>
    </row>
    <row r="20" spans="1:9">
      <c r="A20" s="60"/>
      <c r="B20" s="505" t="s">
        <v>708</v>
      </c>
      <c r="C20" s="190">
        <v>897.37</v>
      </c>
      <c r="D20" s="190">
        <v>897.37</v>
      </c>
      <c r="E20" s="616"/>
      <c r="F20" s="60"/>
      <c r="G20" s="284" t="s">
        <v>788</v>
      </c>
      <c r="H20" s="58">
        <f>28475413</f>
        <v>28475413</v>
      </c>
      <c r="I20" s="190">
        <v>23236047</v>
      </c>
    </row>
    <row r="21" spans="1:9">
      <c r="A21" s="60"/>
      <c r="B21" s="505" t="s">
        <v>707</v>
      </c>
      <c r="C21" s="190">
        <v>500000</v>
      </c>
      <c r="D21" s="190">
        <v>500000</v>
      </c>
      <c r="E21" s="616"/>
      <c r="F21" s="60"/>
      <c r="G21" s="284" t="s">
        <v>787</v>
      </c>
      <c r="H21" s="58">
        <f>1670939</f>
        <v>1670939</v>
      </c>
      <c r="I21" s="190">
        <v>1704109</v>
      </c>
    </row>
    <row r="22" spans="1:9">
      <c r="A22" s="60"/>
      <c r="B22" s="505" t="s">
        <v>706</v>
      </c>
      <c r="C22" s="190">
        <f>2053496-1</f>
        <v>2053495</v>
      </c>
      <c r="D22" s="190">
        <v>10151909</v>
      </c>
      <c r="E22" s="616"/>
      <c r="F22" s="60"/>
      <c r="G22" s="284" t="s">
        <v>786</v>
      </c>
      <c r="H22" s="58">
        <f>4124604</f>
        <v>4124604</v>
      </c>
      <c r="I22" s="190">
        <v>3109237</v>
      </c>
    </row>
    <row r="23" spans="1:9">
      <c r="A23" s="60"/>
      <c r="B23" s="505" t="s">
        <v>705</v>
      </c>
      <c r="C23" s="190">
        <v>500000</v>
      </c>
      <c r="D23" s="190">
        <v>500000</v>
      </c>
      <c r="E23" s="616"/>
      <c r="F23" s="60"/>
      <c r="G23" s="284" t="s">
        <v>785</v>
      </c>
      <c r="H23" s="58">
        <f>4918061</f>
        <v>4918061</v>
      </c>
      <c r="I23" s="190">
        <f>3024259+37800+69406</f>
        <v>3131465</v>
      </c>
    </row>
    <row r="24" spans="1:9">
      <c r="A24" s="60"/>
      <c r="B24" s="505" t="s">
        <v>704</v>
      </c>
      <c r="C24" s="190">
        <v>228451</v>
      </c>
      <c r="D24" s="190">
        <v>3924</v>
      </c>
      <c r="E24" s="616"/>
      <c r="F24" s="60"/>
      <c r="G24" s="284" t="s">
        <v>784</v>
      </c>
      <c r="H24" s="58">
        <v>6454404</v>
      </c>
      <c r="I24" s="190">
        <v>5077730</v>
      </c>
    </row>
    <row r="25" spans="1:9">
      <c r="A25" s="60"/>
      <c r="B25" s="505" t="s">
        <v>478</v>
      </c>
      <c r="C25" s="190">
        <v>2503257</v>
      </c>
      <c r="D25" s="190">
        <v>1906182</v>
      </c>
      <c r="E25" s="616"/>
      <c r="F25" s="60"/>
      <c r="G25" s="284" t="s">
        <v>914</v>
      </c>
      <c r="H25" s="58">
        <v>6845692</v>
      </c>
      <c r="I25" s="190">
        <v>4074676</v>
      </c>
    </row>
    <row r="26" spans="1:9">
      <c r="A26" s="60"/>
      <c r="B26" s="505" t="s">
        <v>711</v>
      </c>
      <c r="C26" s="190">
        <v>1476254</v>
      </c>
      <c r="D26" s="190">
        <v>799939</v>
      </c>
      <c r="E26" s="616"/>
      <c r="F26" s="60"/>
      <c r="G26" s="284" t="s">
        <v>783</v>
      </c>
      <c r="H26" s="58">
        <v>3345735</v>
      </c>
      <c r="I26" s="190">
        <v>3374861</v>
      </c>
    </row>
    <row r="27" spans="1:9">
      <c r="A27" s="60"/>
      <c r="B27" s="505" t="s">
        <v>712</v>
      </c>
      <c r="C27" s="190">
        <v>102994</v>
      </c>
      <c r="D27" s="190">
        <v>25503</v>
      </c>
      <c r="E27" s="616"/>
      <c r="F27" s="60"/>
      <c r="G27" s="284" t="s">
        <v>782</v>
      </c>
      <c r="H27" s="58">
        <f>2746224</f>
        <v>2746224</v>
      </c>
      <c r="I27" s="190">
        <v>1113284</v>
      </c>
    </row>
    <row r="28" spans="1:9">
      <c r="A28" s="60"/>
      <c r="B28" s="505" t="s">
        <v>981</v>
      </c>
      <c r="C28" s="190">
        <v>14833892</v>
      </c>
      <c r="D28" s="190">
        <v>10674037</v>
      </c>
      <c r="E28" s="616"/>
      <c r="F28" s="60"/>
      <c r="G28" s="284" t="s">
        <v>781</v>
      </c>
      <c r="H28" s="58">
        <v>209514</v>
      </c>
      <c r="I28" s="190">
        <v>92685</v>
      </c>
    </row>
    <row r="29" spans="1:9">
      <c r="A29" s="60"/>
      <c r="B29" s="505" t="s">
        <v>713</v>
      </c>
      <c r="C29" s="190">
        <v>249600</v>
      </c>
      <c r="D29" s="190">
        <v>133600</v>
      </c>
      <c r="E29" s="616"/>
      <c r="F29" s="60"/>
      <c r="G29" s="284" t="s">
        <v>780</v>
      </c>
      <c r="H29" s="58">
        <f>1102870</f>
        <v>1102870</v>
      </c>
      <c r="I29" s="190">
        <v>1032048</v>
      </c>
    </row>
    <row r="30" spans="1:9">
      <c r="A30" s="60"/>
      <c r="B30" s="505" t="s">
        <v>476</v>
      </c>
      <c r="C30" s="190">
        <v>1977661</v>
      </c>
      <c r="D30" s="190">
        <v>1426719</v>
      </c>
      <c r="E30" s="616"/>
      <c r="F30" s="60"/>
      <c r="G30" s="284" t="s">
        <v>779</v>
      </c>
      <c r="H30" s="58">
        <v>686709</v>
      </c>
      <c r="I30" s="190">
        <v>748378</v>
      </c>
    </row>
    <row r="31" spans="1:9">
      <c r="A31" s="60"/>
      <c r="B31" s="505" t="s">
        <v>475</v>
      </c>
      <c r="C31" s="190">
        <v>6438664</v>
      </c>
      <c r="D31" s="190">
        <v>10915309</v>
      </c>
      <c r="E31" s="616"/>
      <c r="F31" s="60"/>
      <c r="G31" s="284" t="s">
        <v>778</v>
      </c>
      <c r="H31" s="58">
        <f>10154351+2483453</f>
        <v>12637804</v>
      </c>
      <c r="I31" s="190">
        <f>13693562+422251</f>
        <v>14115813</v>
      </c>
    </row>
    <row r="32" spans="1:9">
      <c r="A32" s="60"/>
      <c r="B32" s="505" t="s">
        <v>714</v>
      </c>
      <c r="C32" s="190">
        <v>4375256</v>
      </c>
      <c r="D32" s="190">
        <v>13030686</v>
      </c>
      <c r="E32" s="616"/>
      <c r="F32" s="60"/>
      <c r="G32" s="284" t="s">
        <v>777</v>
      </c>
      <c r="H32" s="58">
        <v>282738</v>
      </c>
      <c r="I32" s="190">
        <v>271486</v>
      </c>
    </row>
    <row r="33" spans="1:9">
      <c r="A33" s="60"/>
      <c r="B33" s="505" t="s">
        <v>474</v>
      </c>
      <c r="C33" s="190">
        <v>193016</v>
      </c>
      <c r="D33" s="190">
        <v>148512</v>
      </c>
      <c r="E33" s="616"/>
      <c r="F33" s="60"/>
      <c r="G33" s="284" t="s">
        <v>776</v>
      </c>
      <c r="H33" s="58">
        <v>202720</v>
      </c>
      <c r="I33" s="190">
        <v>132223</v>
      </c>
    </row>
    <row r="34" spans="1:9">
      <c r="A34" s="60"/>
      <c r="B34" s="505" t="s">
        <v>473</v>
      </c>
      <c r="C34" s="190">
        <v>166614.5</v>
      </c>
      <c r="D34" s="190">
        <v>280354.5</v>
      </c>
      <c r="E34" s="616"/>
      <c r="F34" s="60"/>
      <c r="G34" s="284" t="s">
        <v>775</v>
      </c>
      <c r="H34" s="58">
        <v>122527</v>
      </c>
      <c r="I34" s="190">
        <v>155625</v>
      </c>
    </row>
    <row r="35" spans="1:9">
      <c r="A35" s="60"/>
      <c r="B35" s="505" t="s">
        <v>723</v>
      </c>
      <c r="C35" s="190"/>
      <c r="D35" s="190"/>
      <c r="E35" s="616"/>
      <c r="F35" s="60"/>
      <c r="G35" s="505" t="s">
        <v>774</v>
      </c>
      <c r="H35" s="186" t="s">
        <v>242</v>
      </c>
      <c r="I35" s="186" t="s">
        <v>242</v>
      </c>
    </row>
    <row r="36" spans="1:9">
      <c r="A36" s="60"/>
      <c r="B36" s="505" t="s">
        <v>477</v>
      </c>
      <c r="C36" s="190">
        <v>13431</v>
      </c>
      <c r="D36" s="190">
        <v>11085</v>
      </c>
      <c r="E36" s="616"/>
      <c r="F36" s="60"/>
      <c r="G36" s="284" t="s">
        <v>773</v>
      </c>
      <c r="H36" s="58">
        <v>213000</v>
      </c>
      <c r="I36" s="190">
        <v>189000</v>
      </c>
    </row>
    <row r="37" spans="1:9">
      <c r="A37" s="60"/>
      <c r="B37" s="505" t="s">
        <v>722</v>
      </c>
      <c r="C37" s="190"/>
      <c r="D37" s="190"/>
      <c r="E37" s="616"/>
      <c r="F37" s="60"/>
      <c r="G37" s="284" t="s">
        <v>1013</v>
      </c>
      <c r="H37" s="58">
        <f>107624048+760301</f>
        <v>108384349</v>
      </c>
      <c r="I37" s="190">
        <f>94360635+17937</f>
        <v>94378572</v>
      </c>
    </row>
    <row r="38" spans="1:9">
      <c r="A38" s="60"/>
      <c r="B38" s="108" t="s">
        <v>715</v>
      </c>
      <c r="C38" s="186" t="s">
        <v>242</v>
      </c>
      <c r="D38" s="190">
        <v>3267949</v>
      </c>
      <c r="E38" s="616"/>
      <c r="F38" s="60"/>
      <c r="G38" s="284" t="s">
        <v>1048</v>
      </c>
      <c r="H38" s="58">
        <f>217800+1644170</f>
        <v>1861970</v>
      </c>
      <c r="I38" s="190">
        <f>511500+2311650</f>
        <v>2823150</v>
      </c>
    </row>
    <row r="39" spans="1:9">
      <c r="A39" s="108"/>
      <c r="B39" s="108" t="s">
        <v>716</v>
      </c>
      <c r="C39" s="190">
        <v>279598</v>
      </c>
      <c r="D39" s="190">
        <v>950526</v>
      </c>
      <c r="E39" s="616"/>
      <c r="F39" s="60"/>
      <c r="G39" s="284" t="s">
        <v>1049</v>
      </c>
      <c r="H39" s="58">
        <v>495743</v>
      </c>
      <c r="I39" s="190">
        <v>212572</v>
      </c>
    </row>
    <row r="40" spans="1:9">
      <c r="A40" s="60"/>
      <c r="B40" s="505" t="s">
        <v>717</v>
      </c>
      <c r="C40" s="190">
        <v>191277</v>
      </c>
      <c r="D40" s="190">
        <v>247423</v>
      </c>
      <c r="E40" s="616"/>
      <c r="F40" s="60"/>
      <c r="G40" s="284" t="s">
        <v>772</v>
      </c>
      <c r="H40" s="58">
        <v>174105</v>
      </c>
      <c r="I40" s="186" t="s">
        <v>242</v>
      </c>
    </row>
    <row r="41" spans="1:9">
      <c r="A41" s="60"/>
      <c r="B41" s="505" t="s">
        <v>718</v>
      </c>
      <c r="C41" s="190">
        <v>1097</v>
      </c>
      <c r="D41" s="190">
        <v>1062</v>
      </c>
      <c r="E41" s="616"/>
      <c r="F41" s="60"/>
      <c r="G41" s="284" t="s">
        <v>1052</v>
      </c>
      <c r="H41" s="58">
        <f>10826811+1202979</f>
        <v>12029790</v>
      </c>
      <c r="I41" s="190">
        <v>16203229</v>
      </c>
    </row>
    <row r="42" spans="1:9">
      <c r="A42" s="60"/>
      <c r="B42" s="505" t="s">
        <v>721</v>
      </c>
      <c r="C42" s="190"/>
      <c r="D42" s="190"/>
      <c r="E42" s="616"/>
      <c r="F42" s="60"/>
      <c r="G42" s="284" t="s">
        <v>1051</v>
      </c>
      <c r="H42" s="58">
        <v>4772573</v>
      </c>
      <c r="I42" s="190">
        <v>4149010</v>
      </c>
    </row>
    <row r="43" spans="1:9">
      <c r="A43" s="60"/>
      <c r="B43" s="505" t="s">
        <v>719</v>
      </c>
      <c r="C43" s="190">
        <v>476662</v>
      </c>
      <c r="D43" s="190">
        <v>1095445</v>
      </c>
      <c r="E43" s="616"/>
      <c r="F43" s="60"/>
      <c r="G43" s="284" t="s">
        <v>771</v>
      </c>
      <c r="H43" s="58">
        <v>3488</v>
      </c>
      <c r="I43" s="190">
        <v>2191</v>
      </c>
    </row>
    <row r="44" spans="1:9">
      <c r="A44" s="60"/>
      <c r="B44" s="505" t="s">
        <v>720</v>
      </c>
      <c r="C44" s="190">
        <v>6293863</v>
      </c>
      <c r="D44" s="190">
        <v>4898818</v>
      </c>
      <c r="E44" s="616"/>
      <c r="F44" s="60"/>
      <c r="G44" s="284" t="s">
        <v>1050</v>
      </c>
      <c r="H44" s="58">
        <v>79323</v>
      </c>
      <c r="I44" s="190">
        <v>158600</v>
      </c>
    </row>
    <row r="45" spans="1:9">
      <c r="A45" s="108"/>
      <c r="B45" s="506" t="s">
        <v>724</v>
      </c>
      <c r="C45" s="190">
        <v>377500</v>
      </c>
      <c r="D45" s="190">
        <v>377500</v>
      </c>
      <c r="E45" s="616"/>
      <c r="F45" s="60"/>
      <c r="G45" s="284" t="s">
        <v>766</v>
      </c>
      <c r="H45" s="58">
        <v>701384</v>
      </c>
      <c r="I45" s="186" t="s">
        <v>242</v>
      </c>
    </row>
    <row r="46" spans="1:9">
      <c r="A46" s="108"/>
      <c r="B46" s="506" t="s">
        <v>1066</v>
      </c>
      <c r="C46" s="190">
        <v>24564</v>
      </c>
      <c r="D46" s="186" t="s">
        <v>242</v>
      </c>
      <c r="E46" s="616"/>
      <c r="F46" s="60"/>
      <c r="G46" s="284" t="s">
        <v>1047</v>
      </c>
      <c r="H46" s="58">
        <v>3822512</v>
      </c>
      <c r="I46" s="190">
        <v>5708907</v>
      </c>
    </row>
    <row r="47" spans="1:9">
      <c r="A47" s="108"/>
      <c r="B47" s="505" t="s">
        <v>1071</v>
      </c>
      <c r="C47" s="190">
        <v>23452360</v>
      </c>
      <c r="D47" s="186" t="s">
        <v>242</v>
      </c>
      <c r="E47" s="616"/>
      <c r="F47" s="60"/>
      <c r="G47" s="284" t="s">
        <v>769</v>
      </c>
      <c r="H47" s="58">
        <v>1988814</v>
      </c>
      <c r="I47" s="190">
        <v>1558981</v>
      </c>
    </row>
    <row r="48" spans="1:9">
      <c r="A48" s="108"/>
      <c r="B48" s="505" t="s">
        <v>1074</v>
      </c>
      <c r="C48" s="190">
        <v>4402423</v>
      </c>
      <c r="D48" s="186" t="s">
        <v>242</v>
      </c>
      <c r="E48" s="616"/>
      <c r="F48" s="60"/>
      <c r="G48" s="284" t="s">
        <v>770</v>
      </c>
      <c r="H48" s="58">
        <f>11917204+1117729</f>
        <v>13034933</v>
      </c>
      <c r="I48" s="190">
        <v>10496586</v>
      </c>
    </row>
    <row r="49" spans="1:9">
      <c r="A49" s="108"/>
      <c r="B49" s="505" t="s">
        <v>1203</v>
      </c>
      <c r="C49" s="190">
        <v>158119</v>
      </c>
      <c r="D49" s="186" t="s">
        <v>242</v>
      </c>
      <c r="E49" s="616"/>
      <c r="F49" s="60"/>
      <c r="G49" s="284" t="s">
        <v>767</v>
      </c>
      <c r="H49" s="58">
        <v>219563</v>
      </c>
      <c r="I49" s="190">
        <v>90207</v>
      </c>
    </row>
    <row r="50" spans="1:9">
      <c r="A50" s="108"/>
      <c r="B50" s="505" t="s">
        <v>1204</v>
      </c>
      <c r="C50" s="190">
        <v>134896</v>
      </c>
      <c r="D50" s="186" t="s">
        <v>242</v>
      </c>
      <c r="E50" s="616"/>
      <c r="F50" s="60"/>
      <c r="G50" s="284" t="s">
        <v>768</v>
      </c>
      <c r="H50" s="58">
        <v>11328</v>
      </c>
      <c r="I50" s="190">
        <v>23721</v>
      </c>
    </row>
    <row r="51" spans="1:9">
      <c r="A51" s="108"/>
      <c r="B51" s="505" t="s">
        <v>1445</v>
      </c>
      <c r="C51" s="186" t="s">
        <v>242</v>
      </c>
      <c r="D51" s="186" t="s">
        <v>242</v>
      </c>
      <c r="E51" s="616"/>
      <c r="F51" s="60"/>
      <c r="G51" s="284" t="s">
        <v>1205</v>
      </c>
      <c r="H51" s="58">
        <v>570678</v>
      </c>
      <c r="I51" s="190">
        <v>462900</v>
      </c>
    </row>
    <row r="52" spans="1:9" ht="16.2" thickBot="1">
      <c r="A52" s="262"/>
      <c r="B52" s="580"/>
      <c r="C52" s="448"/>
      <c r="D52" s="439"/>
      <c r="E52" s="616"/>
      <c r="F52" s="403"/>
      <c r="G52" s="287" t="s">
        <v>1206</v>
      </c>
      <c r="H52" s="61">
        <f>3536053+90000</f>
        <v>3626053</v>
      </c>
      <c r="I52" s="439">
        <v>2885925</v>
      </c>
    </row>
    <row r="53" spans="1:9">
      <c r="A53" s="57"/>
      <c r="E53" s="616"/>
      <c r="F53" s="617" t="s">
        <v>1411</v>
      </c>
      <c r="G53" s="617"/>
      <c r="H53" s="617"/>
      <c r="I53" s="617"/>
    </row>
    <row r="54" spans="1:9" ht="16.2" thickBot="1">
      <c r="A54" s="57"/>
      <c r="E54" s="616"/>
      <c r="F54" s="618" t="s">
        <v>1410</v>
      </c>
      <c r="G54" s="618"/>
      <c r="H54" s="618"/>
      <c r="I54" s="618"/>
    </row>
    <row r="55" spans="1:9">
      <c r="A55" s="496" t="s">
        <v>11</v>
      </c>
      <c r="B55" s="458"/>
      <c r="C55" s="194"/>
      <c r="D55" s="352"/>
      <c r="E55" s="616"/>
      <c r="F55" s="277"/>
      <c r="G55" s="450" t="s">
        <v>1207</v>
      </c>
      <c r="H55" s="194">
        <v>138100</v>
      </c>
      <c r="I55" s="352">
        <f>150100</f>
        <v>150100</v>
      </c>
    </row>
    <row r="56" spans="1:9">
      <c r="A56" s="60"/>
      <c r="B56" s="463" t="s">
        <v>439</v>
      </c>
      <c r="C56" s="58">
        <f>784000000+278500000</f>
        <v>1062500000</v>
      </c>
      <c r="D56" s="440">
        <f>899200000+448500000</f>
        <v>1347700000</v>
      </c>
      <c r="E56" s="616"/>
      <c r="F56" s="60"/>
      <c r="G56" s="284" t="s">
        <v>1208</v>
      </c>
      <c r="H56" s="58">
        <f>1815000</f>
        <v>1815000</v>
      </c>
      <c r="I56" s="190">
        <v>1650000</v>
      </c>
    </row>
    <row r="57" spans="1:9">
      <c r="A57" s="60"/>
      <c r="B57" s="505" t="s">
        <v>440</v>
      </c>
      <c r="C57" s="186" t="s">
        <v>242</v>
      </c>
      <c r="D57" s="186" t="s">
        <v>242</v>
      </c>
      <c r="E57" s="616"/>
      <c r="F57" s="60"/>
      <c r="G57" s="284"/>
      <c r="H57" s="58"/>
      <c r="I57" s="190"/>
    </row>
    <row r="58" spans="1:9">
      <c r="A58" s="60"/>
      <c r="B58" s="505" t="s">
        <v>441</v>
      </c>
      <c r="C58" s="186" t="s">
        <v>242</v>
      </c>
      <c r="D58" s="186" t="s">
        <v>242</v>
      </c>
      <c r="E58" s="616"/>
      <c r="F58" s="60"/>
      <c r="G58" s="410" t="s">
        <v>62</v>
      </c>
      <c r="H58" s="58"/>
      <c r="I58" s="190"/>
    </row>
    <row r="59" spans="1:9">
      <c r="A59" s="60"/>
      <c r="B59" s="505" t="s">
        <v>442</v>
      </c>
      <c r="C59" s="190"/>
      <c r="D59" s="190"/>
      <c r="E59" s="616"/>
      <c r="F59" s="60"/>
      <c r="G59" s="284" t="s">
        <v>798</v>
      </c>
      <c r="H59" s="58">
        <v>1681118</v>
      </c>
      <c r="I59" s="190">
        <v>1351953</v>
      </c>
    </row>
    <row r="60" spans="1:9">
      <c r="A60" s="60"/>
      <c r="B60" s="505" t="s">
        <v>443</v>
      </c>
      <c r="C60" s="190"/>
      <c r="D60" s="190"/>
      <c r="E60" s="616"/>
      <c r="F60" s="60"/>
      <c r="G60" s="505" t="s">
        <v>797</v>
      </c>
      <c r="H60" s="186" t="s">
        <v>242</v>
      </c>
      <c r="I60" s="186" t="s">
        <v>242</v>
      </c>
    </row>
    <row r="61" spans="1:9">
      <c r="A61" s="60"/>
      <c r="B61" s="505" t="s">
        <v>452</v>
      </c>
      <c r="C61" s="186" t="s">
        <v>242</v>
      </c>
      <c r="D61" s="186" t="s">
        <v>242</v>
      </c>
      <c r="E61" s="616"/>
      <c r="F61" s="60"/>
      <c r="G61" s="505" t="s">
        <v>796</v>
      </c>
      <c r="H61" s="190">
        <v>80392</v>
      </c>
      <c r="I61" s="190">
        <v>14100</v>
      </c>
    </row>
    <row r="62" spans="1:9">
      <c r="A62" s="60"/>
      <c r="B62" s="505" t="s">
        <v>453</v>
      </c>
      <c r="C62" s="186" t="s">
        <v>242</v>
      </c>
      <c r="D62" s="186" t="s">
        <v>242</v>
      </c>
      <c r="E62" s="616"/>
      <c r="F62" s="60"/>
      <c r="G62" s="505" t="s">
        <v>795</v>
      </c>
      <c r="H62" s="190">
        <f>693571</f>
        <v>693571</v>
      </c>
      <c r="I62" s="190">
        <v>735215</v>
      </c>
    </row>
    <row r="63" spans="1:9">
      <c r="A63" s="60"/>
      <c r="B63" s="505" t="s">
        <v>444</v>
      </c>
      <c r="C63" s="186" t="s">
        <v>242</v>
      </c>
      <c r="D63" s="186" t="s">
        <v>242</v>
      </c>
      <c r="E63" s="616"/>
      <c r="F63" s="60"/>
      <c r="G63" s="505" t="s">
        <v>794</v>
      </c>
      <c r="H63" s="190">
        <v>289108</v>
      </c>
      <c r="I63" s="190">
        <v>516682</v>
      </c>
    </row>
    <row r="64" spans="1:9">
      <c r="A64" s="60"/>
      <c r="B64" s="505" t="s">
        <v>445</v>
      </c>
      <c r="C64" s="186" t="s">
        <v>242</v>
      </c>
      <c r="D64" s="190">
        <v>415000</v>
      </c>
      <c r="E64" s="616"/>
      <c r="F64" s="60"/>
      <c r="G64" s="505" t="s">
        <v>793</v>
      </c>
      <c r="H64" s="190">
        <v>312940</v>
      </c>
      <c r="I64" s="190">
        <v>347571</v>
      </c>
    </row>
    <row r="65" spans="1:9">
      <c r="A65" s="60"/>
      <c r="B65" s="505" t="s">
        <v>446</v>
      </c>
      <c r="C65" s="190">
        <v>-202875</v>
      </c>
      <c r="D65" s="190">
        <v>500000</v>
      </c>
      <c r="E65" s="616"/>
      <c r="F65" s="60"/>
      <c r="G65" s="505" t="s">
        <v>792</v>
      </c>
      <c r="H65" s="186" t="s">
        <v>242</v>
      </c>
      <c r="I65" s="190">
        <v>120110</v>
      </c>
    </row>
    <row r="66" spans="1:9">
      <c r="A66" s="60"/>
      <c r="B66" s="505" t="s">
        <v>53</v>
      </c>
      <c r="C66" s="186" t="s">
        <v>242</v>
      </c>
      <c r="D66" s="190">
        <v>200000</v>
      </c>
      <c r="E66" s="616"/>
      <c r="F66" s="60"/>
      <c r="G66" s="505" t="s">
        <v>372</v>
      </c>
      <c r="H66" s="186" t="s">
        <v>242</v>
      </c>
      <c r="I66" s="186" t="s">
        <v>242</v>
      </c>
    </row>
    <row r="67" spans="1:9">
      <c r="A67" s="60"/>
      <c r="B67" s="505" t="s">
        <v>54</v>
      </c>
      <c r="C67" s="190">
        <v>-102994</v>
      </c>
      <c r="D67" s="190">
        <v>150000</v>
      </c>
      <c r="E67" s="616"/>
      <c r="F67" s="60"/>
      <c r="G67" s="505" t="s">
        <v>790</v>
      </c>
      <c r="H67" s="190">
        <f>13659003</f>
        <v>13659003</v>
      </c>
      <c r="I67" s="190">
        <v>1811302</v>
      </c>
    </row>
    <row r="68" spans="1:9">
      <c r="A68" s="60"/>
      <c r="B68" s="505" t="s">
        <v>425</v>
      </c>
      <c r="C68" s="186" t="s">
        <v>242</v>
      </c>
      <c r="D68" s="186" t="s">
        <v>242</v>
      </c>
      <c r="E68" s="616"/>
      <c r="F68" s="60"/>
      <c r="G68" s="108" t="s">
        <v>791</v>
      </c>
      <c r="H68" s="190">
        <f>5298065+2490076</f>
        <v>7788141</v>
      </c>
      <c r="I68" s="190">
        <f>2502039+5439787</f>
        <v>7941826</v>
      </c>
    </row>
    <row r="69" spans="1:9">
      <c r="A69" s="60" t="s">
        <v>112</v>
      </c>
      <c r="B69" s="505" t="s">
        <v>426</v>
      </c>
      <c r="C69" s="186" t="s">
        <v>242</v>
      </c>
      <c r="D69" s="186" t="s">
        <v>242</v>
      </c>
      <c r="E69" s="616"/>
      <c r="F69" s="60"/>
      <c r="G69" s="505"/>
      <c r="H69" s="190"/>
      <c r="I69" s="190"/>
    </row>
    <row r="70" spans="1:9">
      <c r="A70" s="60"/>
      <c r="B70" s="505" t="s">
        <v>172</v>
      </c>
      <c r="C70" s="190">
        <v>4900000</v>
      </c>
      <c r="D70" s="190">
        <v>12190000</v>
      </c>
      <c r="E70" s="616"/>
      <c r="F70" s="60"/>
      <c r="G70" s="409" t="s">
        <v>63</v>
      </c>
      <c r="H70" s="190"/>
      <c r="I70" s="190"/>
    </row>
    <row r="71" spans="1:9">
      <c r="A71" s="60"/>
      <c r="B71" s="505" t="s">
        <v>173</v>
      </c>
      <c r="C71" s="186" t="s">
        <v>242</v>
      </c>
      <c r="D71" s="186" t="s">
        <v>242</v>
      </c>
      <c r="E71" s="616"/>
      <c r="F71" s="60"/>
      <c r="G71" s="505" t="s">
        <v>1212</v>
      </c>
      <c r="H71" s="190">
        <v>15779618</v>
      </c>
      <c r="I71" s="190">
        <f>30206616-41312</f>
        <v>30165304</v>
      </c>
    </row>
    <row r="72" spans="1:9">
      <c r="A72" s="60"/>
      <c r="B72" s="108" t="s">
        <v>174</v>
      </c>
      <c r="C72" s="186" t="s">
        <v>242</v>
      </c>
      <c r="D72" s="186" t="s">
        <v>242</v>
      </c>
      <c r="E72" s="616"/>
      <c r="F72" s="60"/>
      <c r="G72" s="505" t="s">
        <v>808</v>
      </c>
      <c r="H72" s="190">
        <v>4305317</v>
      </c>
      <c r="I72" s="190">
        <v>3498375</v>
      </c>
    </row>
    <row r="73" spans="1:9">
      <c r="A73" s="60"/>
      <c r="B73" s="108" t="s">
        <v>698</v>
      </c>
      <c r="C73" s="190">
        <f>2301000+40000</f>
        <v>2341000</v>
      </c>
      <c r="D73" s="186" t="s">
        <v>242</v>
      </c>
      <c r="E73" s="616"/>
      <c r="F73" s="60"/>
      <c r="G73" s="505" t="s">
        <v>807</v>
      </c>
      <c r="H73" s="186" t="s">
        <v>242</v>
      </c>
      <c r="I73" s="190">
        <v>134516</v>
      </c>
    </row>
    <row r="74" spans="1:9">
      <c r="A74" s="108"/>
      <c r="B74" s="505" t="s">
        <v>175</v>
      </c>
      <c r="C74" s="186" t="s">
        <v>242</v>
      </c>
      <c r="D74" s="186" t="s">
        <v>242</v>
      </c>
      <c r="E74" s="616"/>
      <c r="F74" s="60"/>
      <c r="G74" s="505" t="s">
        <v>806</v>
      </c>
      <c r="H74" s="190">
        <v>7410811</v>
      </c>
      <c r="I74" s="190">
        <f>9403263-98405</f>
        <v>9304858</v>
      </c>
    </row>
    <row r="75" spans="1:9">
      <c r="A75" s="108"/>
      <c r="B75" s="505" t="s">
        <v>534</v>
      </c>
      <c r="C75" s="186" t="s">
        <v>242</v>
      </c>
      <c r="D75" s="186" t="s">
        <v>242</v>
      </c>
      <c r="E75" s="616"/>
      <c r="F75" s="60"/>
      <c r="G75" s="505" t="s">
        <v>805</v>
      </c>
      <c r="H75" s="190">
        <v>7710784</v>
      </c>
      <c r="I75" s="190">
        <v>5984954</v>
      </c>
    </row>
    <row r="76" spans="1:9">
      <c r="A76" s="108"/>
      <c r="B76" s="505" t="s">
        <v>535</v>
      </c>
      <c r="C76" s="186" t="s">
        <v>242</v>
      </c>
      <c r="D76" s="186" t="s">
        <v>242</v>
      </c>
      <c r="E76" s="412"/>
      <c r="F76" s="60"/>
      <c r="G76" s="505" t="s">
        <v>804</v>
      </c>
      <c r="H76" s="186" t="s">
        <v>242</v>
      </c>
      <c r="I76" s="190">
        <v>92046</v>
      </c>
    </row>
    <row r="77" spans="1:9">
      <c r="A77" s="108"/>
      <c r="B77" s="505" t="s">
        <v>541</v>
      </c>
      <c r="C77" s="186" t="s">
        <v>242</v>
      </c>
      <c r="D77" s="186" t="s">
        <v>242</v>
      </c>
      <c r="E77" s="412"/>
      <c r="F77" s="60"/>
      <c r="G77" s="505" t="s">
        <v>803</v>
      </c>
      <c r="H77" s="186" t="s">
        <v>242</v>
      </c>
      <c r="I77" s="190">
        <v>1228825</v>
      </c>
    </row>
    <row r="78" spans="1:9">
      <c r="A78" s="108"/>
      <c r="B78" s="505" t="s">
        <v>545</v>
      </c>
      <c r="C78" s="190">
        <v>2152794</v>
      </c>
      <c r="D78" s="190">
        <v>1221434</v>
      </c>
      <c r="E78" s="412"/>
      <c r="F78" s="60"/>
      <c r="G78" s="505" t="s">
        <v>799</v>
      </c>
      <c r="H78" s="186" t="s">
        <v>242</v>
      </c>
      <c r="I78" s="186" t="s">
        <v>242</v>
      </c>
    </row>
    <row r="79" spans="1:9">
      <c r="A79" s="108"/>
      <c r="B79" s="505" t="s">
        <v>557</v>
      </c>
      <c r="C79" s="186" t="s">
        <v>242</v>
      </c>
      <c r="D79" s="186" t="s">
        <v>242</v>
      </c>
      <c r="E79" s="412"/>
      <c r="F79" s="60"/>
      <c r="G79" s="505" t="s">
        <v>800</v>
      </c>
      <c r="H79" s="190">
        <v>264840661</v>
      </c>
      <c r="I79" s="190">
        <v>182079888</v>
      </c>
    </row>
    <row r="80" spans="1:9">
      <c r="A80" s="108"/>
      <c r="B80" s="505" t="s">
        <v>1067</v>
      </c>
      <c r="C80" s="186" t="s">
        <v>242</v>
      </c>
      <c r="D80" s="190">
        <v>24420</v>
      </c>
      <c r="E80" s="412"/>
      <c r="F80" s="60"/>
      <c r="G80" s="505" t="s">
        <v>801</v>
      </c>
      <c r="H80" s="186" t="s">
        <v>242</v>
      </c>
      <c r="I80" s="186" t="s">
        <v>242</v>
      </c>
    </row>
    <row r="81" spans="1:9">
      <c r="A81" s="108"/>
      <c r="B81" s="505" t="s">
        <v>1073</v>
      </c>
      <c r="C81" s="186" t="s">
        <v>242</v>
      </c>
      <c r="D81" s="190">
        <v>23455000</v>
      </c>
      <c r="E81" s="412"/>
      <c r="F81" s="60"/>
      <c r="G81" s="505" t="s">
        <v>802</v>
      </c>
      <c r="H81" s="186" t="s">
        <v>242</v>
      </c>
      <c r="I81" s="186" t="s">
        <v>242</v>
      </c>
    </row>
    <row r="82" spans="1:9">
      <c r="A82" s="108"/>
      <c r="B82" s="505" t="s">
        <v>1209</v>
      </c>
      <c r="C82" s="186" t="s">
        <v>242</v>
      </c>
      <c r="D82" s="190">
        <v>4424000</v>
      </c>
      <c r="E82" s="413"/>
      <c r="F82" s="60"/>
      <c r="G82" s="505" t="s">
        <v>963</v>
      </c>
      <c r="H82" s="190">
        <v>11016415</v>
      </c>
      <c r="I82" s="186" t="s">
        <v>242</v>
      </c>
    </row>
    <row r="83" spans="1:9">
      <c r="A83" s="108"/>
      <c r="B83" s="505" t="s">
        <v>1210</v>
      </c>
      <c r="C83" s="190">
        <v>98225</v>
      </c>
      <c r="D83" s="190">
        <v>204665</v>
      </c>
      <c r="E83" s="413"/>
      <c r="F83" s="60"/>
      <c r="G83" s="505" t="s">
        <v>1065</v>
      </c>
      <c r="H83" s="186" t="s">
        <v>242</v>
      </c>
      <c r="I83" s="190">
        <v>2700000</v>
      </c>
    </row>
    <row r="84" spans="1:9">
      <c r="A84" s="108"/>
      <c r="B84" s="505" t="s">
        <v>1211</v>
      </c>
      <c r="C84" s="190">
        <v>2469373</v>
      </c>
      <c r="D84" s="190">
        <v>1801641</v>
      </c>
      <c r="E84" s="413"/>
      <c r="F84" s="60"/>
      <c r="G84" s="505" t="s">
        <v>1213</v>
      </c>
      <c r="H84" s="186" t="s">
        <v>242</v>
      </c>
      <c r="I84" s="190">
        <v>5258924</v>
      </c>
    </row>
    <row r="85" spans="1:9">
      <c r="A85" s="108"/>
      <c r="B85" s="505"/>
      <c r="C85" s="190"/>
      <c r="D85" s="190"/>
      <c r="E85" s="413"/>
      <c r="F85" s="60"/>
      <c r="G85" s="505"/>
      <c r="H85" s="190"/>
      <c r="I85" s="190"/>
    </row>
    <row r="86" spans="1:9">
      <c r="A86" s="409" t="s">
        <v>480</v>
      </c>
      <c r="B86" s="409"/>
      <c r="C86" s="190"/>
      <c r="D86" s="190"/>
      <c r="E86" s="413"/>
      <c r="F86" s="414"/>
      <c r="G86" s="409" t="s">
        <v>67</v>
      </c>
      <c r="H86" s="190"/>
      <c r="I86" s="190"/>
    </row>
    <row r="87" spans="1:9">
      <c r="A87" s="60"/>
      <c r="B87" s="505" t="s">
        <v>447</v>
      </c>
      <c r="C87" s="186" t="s">
        <v>242</v>
      </c>
      <c r="D87" s="186" t="s">
        <v>242</v>
      </c>
      <c r="E87" s="413"/>
      <c r="F87" s="60"/>
      <c r="G87" s="505" t="s">
        <v>824</v>
      </c>
      <c r="H87" s="190">
        <v>669441</v>
      </c>
      <c r="I87" s="190">
        <v>379143</v>
      </c>
    </row>
    <row r="88" spans="1:9">
      <c r="A88" s="108"/>
      <c r="B88" s="505" t="s">
        <v>448</v>
      </c>
      <c r="C88" s="186" t="s">
        <v>242</v>
      </c>
      <c r="D88" s="186" t="s">
        <v>242</v>
      </c>
      <c r="E88" s="413"/>
      <c r="F88" s="60"/>
      <c r="G88" s="505" t="s">
        <v>823</v>
      </c>
      <c r="H88" s="190">
        <v>293679</v>
      </c>
      <c r="I88" s="190">
        <v>194182</v>
      </c>
    </row>
    <row r="89" spans="1:9">
      <c r="A89" s="108"/>
      <c r="B89" s="505"/>
      <c r="C89" s="190"/>
      <c r="D89" s="190"/>
      <c r="E89" s="413"/>
      <c r="F89" s="60"/>
      <c r="G89" s="505" t="s">
        <v>809</v>
      </c>
      <c r="H89" s="190">
        <v>1234733</v>
      </c>
      <c r="I89" s="190">
        <v>396693</v>
      </c>
    </row>
    <row r="90" spans="1:9">
      <c r="A90" s="409" t="s">
        <v>481</v>
      </c>
      <c r="B90" s="409"/>
      <c r="C90" s="190"/>
      <c r="D90" s="190"/>
      <c r="E90" s="413"/>
      <c r="F90" s="60"/>
      <c r="G90" s="505" t="s">
        <v>822</v>
      </c>
      <c r="H90" s="190">
        <v>1712608</v>
      </c>
      <c r="I90" s="190">
        <v>3111151</v>
      </c>
    </row>
    <row r="91" spans="1:9">
      <c r="A91" s="60"/>
      <c r="B91" s="505" t="s">
        <v>176</v>
      </c>
      <c r="C91" s="186" t="s">
        <v>242</v>
      </c>
      <c r="D91" s="190">
        <f>10754997+4245532</f>
        <v>15000529</v>
      </c>
      <c r="E91" s="413"/>
      <c r="F91" s="60"/>
      <c r="G91" s="505" t="s">
        <v>821</v>
      </c>
      <c r="H91" s="190">
        <v>10624429</v>
      </c>
      <c r="I91" s="190">
        <v>7950522</v>
      </c>
    </row>
    <row r="92" spans="1:9">
      <c r="A92" s="60"/>
      <c r="B92" s="284" t="s">
        <v>177</v>
      </c>
      <c r="C92" s="58">
        <f>13171509+3856795+397132+1133223+2612003+4978918</f>
        <v>26149580</v>
      </c>
      <c r="D92" s="186" t="s">
        <v>242</v>
      </c>
      <c r="E92" s="413"/>
      <c r="F92" s="60"/>
      <c r="G92" s="505" t="s">
        <v>820</v>
      </c>
      <c r="H92" s="186" t="s">
        <v>242</v>
      </c>
      <c r="I92" s="186" t="s">
        <v>242</v>
      </c>
    </row>
    <row r="93" spans="1:9">
      <c r="A93" s="60"/>
      <c r="B93" s="284" t="s">
        <v>178</v>
      </c>
      <c r="C93" s="58">
        <v>80462</v>
      </c>
      <c r="D93" s="190">
        <v>58942</v>
      </c>
      <c r="E93" s="413"/>
      <c r="F93" s="60"/>
      <c r="G93" s="505" t="s">
        <v>819</v>
      </c>
      <c r="H93" s="190">
        <v>420000</v>
      </c>
      <c r="I93" s="190">
        <v>1230000</v>
      </c>
    </row>
    <row r="94" spans="1:9">
      <c r="A94" s="60"/>
      <c r="B94" s="284" t="s">
        <v>179</v>
      </c>
      <c r="C94" s="58">
        <v>275549</v>
      </c>
      <c r="D94" s="190">
        <v>531950</v>
      </c>
      <c r="E94" s="413"/>
      <c r="F94" s="60"/>
      <c r="G94" s="284" t="s">
        <v>818</v>
      </c>
      <c r="H94" s="58">
        <v>881250</v>
      </c>
      <c r="I94" s="190">
        <v>746250</v>
      </c>
    </row>
    <row r="95" spans="1:9">
      <c r="A95" s="60"/>
      <c r="B95" s="284" t="s">
        <v>180</v>
      </c>
      <c r="C95" s="58">
        <v>214923</v>
      </c>
      <c r="D95" s="190">
        <v>455875</v>
      </c>
      <c r="E95" s="413"/>
      <c r="F95" s="60"/>
      <c r="G95" s="284" t="s">
        <v>817</v>
      </c>
      <c r="H95" s="58">
        <v>12062</v>
      </c>
      <c r="I95" s="190">
        <v>294420</v>
      </c>
    </row>
    <row r="96" spans="1:9">
      <c r="A96" s="60"/>
      <c r="B96" s="284" t="s">
        <v>181</v>
      </c>
      <c r="C96" s="58">
        <v>7918</v>
      </c>
      <c r="D96" s="190">
        <v>6300</v>
      </c>
      <c r="E96" s="413"/>
      <c r="F96" s="60"/>
      <c r="G96" s="284" t="s">
        <v>816</v>
      </c>
      <c r="H96" s="58">
        <v>210000</v>
      </c>
      <c r="I96" s="190">
        <v>500000</v>
      </c>
    </row>
    <row r="97" spans="1:9">
      <c r="A97" s="60"/>
      <c r="B97" s="284" t="s">
        <v>182</v>
      </c>
      <c r="C97" s="58">
        <v>27417</v>
      </c>
      <c r="D97" s="190">
        <v>50307</v>
      </c>
      <c r="E97" s="413"/>
      <c r="F97" s="60"/>
      <c r="G97" s="505" t="s">
        <v>815</v>
      </c>
      <c r="H97" s="186" t="s">
        <v>242</v>
      </c>
      <c r="I97" s="186" t="s">
        <v>242</v>
      </c>
    </row>
    <row r="98" spans="1:9">
      <c r="A98" s="60"/>
      <c r="B98" s="284" t="s">
        <v>538</v>
      </c>
      <c r="C98" s="58">
        <v>542</v>
      </c>
      <c r="D98" s="190">
        <v>2346</v>
      </c>
      <c r="E98" s="413"/>
      <c r="F98" s="60"/>
      <c r="G98" s="505" t="s">
        <v>814</v>
      </c>
      <c r="H98" s="186" t="s">
        <v>242</v>
      </c>
      <c r="I98" s="186" t="s">
        <v>242</v>
      </c>
    </row>
    <row r="99" spans="1:9">
      <c r="A99" s="60"/>
      <c r="B99" s="284" t="s">
        <v>542</v>
      </c>
      <c r="C99" s="58">
        <v>42</v>
      </c>
      <c r="D99" s="190">
        <v>35</v>
      </c>
      <c r="E99" s="413"/>
      <c r="F99" s="60"/>
      <c r="G99" s="505" t="s">
        <v>813</v>
      </c>
      <c r="H99" s="186" t="s">
        <v>242</v>
      </c>
      <c r="I99" s="186" t="s">
        <v>242</v>
      </c>
    </row>
    <row r="100" spans="1:9">
      <c r="A100" s="60"/>
      <c r="B100" s="284" t="s">
        <v>543</v>
      </c>
      <c r="C100" s="58">
        <v>52397</v>
      </c>
      <c r="D100" s="190">
        <v>132086</v>
      </c>
      <c r="E100" s="413"/>
      <c r="F100" s="58"/>
      <c r="G100" s="505" t="s">
        <v>812</v>
      </c>
      <c r="H100" s="186" t="s">
        <v>242</v>
      </c>
      <c r="I100" s="186" t="s">
        <v>242</v>
      </c>
    </row>
    <row r="101" spans="1:9">
      <c r="A101" s="60"/>
      <c r="B101" s="284" t="s">
        <v>1068</v>
      </c>
      <c r="C101" s="58">
        <v>975</v>
      </c>
      <c r="D101" s="190">
        <v>144</v>
      </c>
      <c r="E101" s="413"/>
      <c r="F101" s="58"/>
      <c r="G101" s="505" t="s">
        <v>811</v>
      </c>
      <c r="H101" s="186" t="s">
        <v>242</v>
      </c>
      <c r="I101" s="186" t="s">
        <v>242</v>
      </c>
    </row>
    <row r="102" spans="1:9">
      <c r="A102" s="60"/>
      <c r="B102" s="284" t="s">
        <v>1075</v>
      </c>
      <c r="C102" s="58">
        <v>153571</v>
      </c>
      <c r="D102" s="190">
        <v>11490</v>
      </c>
      <c r="E102" s="413"/>
      <c r="F102" s="58"/>
      <c r="G102" s="505" t="s">
        <v>810</v>
      </c>
      <c r="H102" s="186" t="s">
        <v>242</v>
      </c>
      <c r="I102" s="186" t="s">
        <v>242</v>
      </c>
    </row>
    <row r="103" spans="1:9">
      <c r="A103" s="60"/>
      <c r="B103" s="284" t="s">
        <v>1193</v>
      </c>
      <c r="C103" s="58">
        <v>12251</v>
      </c>
      <c r="D103" s="190">
        <v>5051</v>
      </c>
      <c r="E103" s="413"/>
      <c r="F103" s="58"/>
      <c r="G103" s="505" t="s">
        <v>1214</v>
      </c>
      <c r="H103" s="186" t="s">
        <v>242</v>
      </c>
      <c r="I103" s="190">
        <v>4425</v>
      </c>
    </row>
    <row r="104" spans="1:9">
      <c r="A104" s="60"/>
      <c r="B104" s="284" t="s">
        <v>456</v>
      </c>
      <c r="C104" s="58">
        <v>402286</v>
      </c>
      <c r="D104" s="190">
        <v>138613</v>
      </c>
      <c r="E104" s="413"/>
      <c r="F104" s="58"/>
      <c r="G104" s="505" t="s">
        <v>1215</v>
      </c>
      <c r="H104" s="186" t="s">
        <v>242</v>
      </c>
      <c r="I104" s="186" t="s">
        <v>242</v>
      </c>
    </row>
    <row r="105" spans="1:9">
      <c r="A105" s="108"/>
      <c r="B105" s="284" t="s">
        <v>457</v>
      </c>
      <c r="C105" s="58">
        <v>135586</v>
      </c>
      <c r="D105" s="190">
        <v>60000</v>
      </c>
      <c r="E105" s="413"/>
      <c r="F105" s="58"/>
      <c r="G105" s="505" t="s">
        <v>1216</v>
      </c>
      <c r="H105" s="186" t="s">
        <v>242</v>
      </c>
      <c r="I105" s="186" t="s">
        <v>242</v>
      </c>
    </row>
    <row r="106" spans="1:9">
      <c r="A106" s="108"/>
      <c r="B106" s="284" t="s">
        <v>458</v>
      </c>
      <c r="C106" s="58">
        <v>88466</v>
      </c>
      <c r="D106" s="190">
        <v>76078</v>
      </c>
      <c r="E106" s="413"/>
      <c r="F106" s="58"/>
      <c r="G106" s="505" t="s">
        <v>1217</v>
      </c>
      <c r="H106" s="186" t="s">
        <v>242</v>
      </c>
      <c r="I106" s="186" t="s">
        <v>242</v>
      </c>
    </row>
    <row r="107" spans="1:9">
      <c r="A107" s="108"/>
      <c r="B107" s="284" t="s">
        <v>913</v>
      </c>
      <c r="C107" s="58">
        <v>6106</v>
      </c>
      <c r="D107" s="186" t="s">
        <v>242</v>
      </c>
      <c r="E107" s="413"/>
      <c r="F107" s="58"/>
      <c r="G107" s="505" t="s">
        <v>1218</v>
      </c>
      <c r="H107" s="186" t="s">
        <v>242</v>
      </c>
      <c r="I107" s="186" t="s">
        <v>242</v>
      </c>
    </row>
    <row r="108" spans="1:9" ht="16.2" thickBot="1">
      <c r="A108" s="262"/>
      <c r="B108" s="287"/>
      <c r="C108" s="61"/>
      <c r="D108" s="439"/>
      <c r="E108" s="413"/>
      <c r="F108" s="61"/>
      <c r="G108" s="507" t="s">
        <v>1219</v>
      </c>
      <c r="H108" s="439">
        <v>162145</v>
      </c>
      <c r="I108" s="193" t="s">
        <v>242</v>
      </c>
    </row>
    <row r="109" spans="1:9">
      <c r="A109" s="57"/>
      <c r="E109" s="54"/>
      <c r="F109" s="617" t="s">
        <v>993</v>
      </c>
      <c r="G109" s="617"/>
      <c r="H109" s="617"/>
      <c r="I109" s="617"/>
    </row>
    <row r="110" spans="1:9" ht="16.2" thickBot="1">
      <c r="A110" s="57"/>
      <c r="E110" s="54"/>
      <c r="F110" s="618" t="s">
        <v>1020</v>
      </c>
      <c r="G110" s="618"/>
      <c r="H110" s="618"/>
      <c r="I110" s="618"/>
    </row>
    <row r="111" spans="1:9">
      <c r="A111" s="408" t="s">
        <v>482</v>
      </c>
      <c r="B111" s="344"/>
      <c r="C111" s="194"/>
      <c r="D111" s="352"/>
      <c r="E111" s="413"/>
      <c r="F111" s="415"/>
      <c r="G111" s="458" t="s">
        <v>68</v>
      </c>
      <c r="H111" s="194"/>
      <c r="I111" s="352"/>
    </row>
    <row r="112" spans="1:9">
      <c r="A112" s="60"/>
      <c r="B112" s="410"/>
      <c r="C112" s="58"/>
      <c r="D112" s="190"/>
      <c r="E112" s="413"/>
      <c r="F112" s="60"/>
      <c r="G112" s="284" t="s">
        <v>831</v>
      </c>
      <c r="H112" s="58">
        <v>2200</v>
      </c>
      <c r="I112" s="186" t="s">
        <v>242</v>
      </c>
    </row>
    <row r="113" spans="1:9">
      <c r="A113" s="60"/>
      <c r="B113" s="313" t="s">
        <v>449</v>
      </c>
      <c r="C113" s="58">
        <f>3547769</f>
        <v>3547769</v>
      </c>
      <c r="D113" s="190">
        <f>3464247+67545</f>
        <v>3531792</v>
      </c>
      <c r="E113" s="413"/>
      <c r="F113" s="60"/>
      <c r="G113" s="284" t="s">
        <v>830</v>
      </c>
      <c r="H113" s="58">
        <v>1000</v>
      </c>
      <c r="I113" s="186" t="s">
        <v>242</v>
      </c>
    </row>
    <row r="114" spans="1:9">
      <c r="A114" s="60"/>
      <c r="B114" s="505" t="s">
        <v>450</v>
      </c>
      <c r="C114" s="186" t="s">
        <v>242</v>
      </c>
      <c r="D114" s="186" t="s">
        <v>242</v>
      </c>
      <c r="E114" s="413"/>
      <c r="F114" s="60"/>
      <c r="G114" s="284" t="s">
        <v>829</v>
      </c>
      <c r="H114" s="58">
        <v>720</v>
      </c>
      <c r="I114" s="190">
        <v>1680</v>
      </c>
    </row>
    <row r="115" spans="1:9">
      <c r="A115" s="60"/>
      <c r="B115" s="505" t="s">
        <v>451</v>
      </c>
      <c r="C115" s="186" t="s">
        <v>242</v>
      </c>
      <c r="D115" s="186" t="s">
        <v>242</v>
      </c>
      <c r="E115" s="413"/>
      <c r="F115" s="58"/>
      <c r="G115" s="284" t="s">
        <v>828</v>
      </c>
      <c r="H115" s="58">
        <f>95400-3200</f>
        <v>92200</v>
      </c>
      <c r="I115" s="190">
        <v>85400</v>
      </c>
    </row>
    <row r="116" spans="1:9">
      <c r="A116" s="60"/>
      <c r="B116" s="505" t="s">
        <v>454</v>
      </c>
      <c r="C116" s="186" t="s">
        <v>242</v>
      </c>
      <c r="D116" s="186" t="s">
        <v>242</v>
      </c>
      <c r="E116" s="413"/>
      <c r="F116" s="60"/>
      <c r="G116" s="284" t="s">
        <v>1226</v>
      </c>
      <c r="H116" s="58">
        <v>9000</v>
      </c>
      <c r="I116" s="190">
        <v>69910</v>
      </c>
    </row>
    <row r="117" spans="1:9">
      <c r="A117" s="60"/>
      <c r="B117" s="313" t="s">
        <v>533</v>
      </c>
      <c r="C117" s="58">
        <v>1565424</v>
      </c>
      <c r="D117" s="190">
        <v>1004210</v>
      </c>
      <c r="E117" s="413"/>
      <c r="F117" s="60"/>
      <c r="G117" s="284" t="s">
        <v>827</v>
      </c>
      <c r="H117" s="58">
        <v>2589719</v>
      </c>
      <c r="I117" s="190">
        <v>1411850</v>
      </c>
    </row>
    <row r="118" spans="1:9">
      <c r="A118" s="60"/>
      <c r="B118" s="313" t="s">
        <v>1220</v>
      </c>
      <c r="C118" s="58">
        <v>513650</v>
      </c>
      <c r="D118" s="190">
        <v>404400</v>
      </c>
      <c r="E118" s="413"/>
      <c r="F118" s="60"/>
      <c r="G118" s="284" t="s">
        <v>826</v>
      </c>
      <c r="H118" s="58">
        <v>5798770</v>
      </c>
      <c r="I118" s="190">
        <v>4802526</v>
      </c>
    </row>
    <row r="119" spans="1:9">
      <c r="A119" s="60"/>
      <c r="B119" s="313" t="s">
        <v>1221</v>
      </c>
      <c r="C119" s="58">
        <v>3505012</v>
      </c>
      <c r="D119" s="190">
        <f>350000+3703745</f>
        <v>4053745</v>
      </c>
      <c r="E119" s="413"/>
      <c r="F119" s="60"/>
      <c r="G119" s="284" t="s">
        <v>825</v>
      </c>
      <c r="H119" s="58">
        <v>789047</v>
      </c>
      <c r="I119" s="190">
        <v>741780</v>
      </c>
    </row>
    <row r="120" spans="1:9">
      <c r="A120" s="60"/>
      <c r="B120" s="313" t="s">
        <v>1222</v>
      </c>
      <c r="C120" s="58">
        <v>696890</v>
      </c>
      <c r="D120" s="190">
        <f>818194+85800</f>
        <v>903994</v>
      </c>
      <c r="E120" s="413"/>
      <c r="F120" s="60"/>
      <c r="G120" s="505" t="s">
        <v>1227</v>
      </c>
      <c r="H120" s="186" t="s">
        <v>242</v>
      </c>
      <c r="I120" s="186" t="s">
        <v>242</v>
      </c>
    </row>
    <row r="121" spans="1:9">
      <c r="A121" s="60"/>
      <c r="B121" s="313" t="s">
        <v>1223</v>
      </c>
      <c r="C121" s="58">
        <v>26891</v>
      </c>
      <c r="D121" s="190">
        <v>36282</v>
      </c>
      <c r="E121" s="413"/>
      <c r="F121" s="60"/>
      <c r="G121" s="505" t="s">
        <v>1228</v>
      </c>
      <c r="H121" s="190">
        <v>96000</v>
      </c>
      <c r="I121" s="190">
        <v>96000</v>
      </c>
    </row>
    <row r="122" spans="1:9">
      <c r="A122" s="60"/>
      <c r="B122" s="313" t="s">
        <v>1224</v>
      </c>
      <c r="C122" s="58">
        <v>9107840</v>
      </c>
      <c r="D122" s="190">
        <v>8350390</v>
      </c>
      <c r="E122" s="413"/>
      <c r="F122" s="60"/>
      <c r="G122" s="505" t="s">
        <v>1229</v>
      </c>
      <c r="H122" s="190">
        <v>140000</v>
      </c>
      <c r="I122" s="190">
        <v>25000</v>
      </c>
    </row>
    <row r="123" spans="1:9">
      <c r="A123" s="108"/>
      <c r="B123" s="313" t="s">
        <v>1225</v>
      </c>
      <c r="C123" s="58">
        <v>7860025</v>
      </c>
      <c r="D123" s="190">
        <v>10066480</v>
      </c>
      <c r="E123" s="413"/>
      <c r="F123" s="60"/>
      <c r="G123" s="505" t="s">
        <v>1230</v>
      </c>
      <c r="H123" s="186" t="s">
        <v>242</v>
      </c>
      <c r="I123" s="186" t="s">
        <v>242</v>
      </c>
    </row>
    <row r="124" spans="1:9">
      <c r="A124" s="108"/>
      <c r="B124" s="313"/>
      <c r="C124" s="58"/>
      <c r="D124" s="190"/>
      <c r="E124" s="413"/>
      <c r="F124" s="60"/>
      <c r="G124" s="505" t="s">
        <v>1231</v>
      </c>
      <c r="H124" s="190">
        <v>1800</v>
      </c>
      <c r="I124" s="186" t="s">
        <v>242</v>
      </c>
    </row>
    <row r="125" spans="1:9">
      <c r="A125" s="108"/>
      <c r="B125" s="313"/>
      <c r="C125" s="58"/>
      <c r="D125" s="190"/>
      <c r="E125" s="413"/>
      <c r="F125" s="60"/>
      <c r="G125" s="505" t="s">
        <v>1232</v>
      </c>
      <c r="H125" s="190">
        <v>9995179</v>
      </c>
      <c r="I125" s="190">
        <v>8982358</v>
      </c>
    </row>
    <row r="126" spans="1:9">
      <c r="A126" s="108"/>
      <c r="B126" s="313"/>
      <c r="C126" s="58"/>
      <c r="D126" s="190"/>
      <c r="E126" s="413"/>
      <c r="F126" s="60"/>
      <c r="G126" s="505" t="s">
        <v>1233</v>
      </c>
      <c r="H126" s="186" t="s">
        <v>242</v>
      </c>
      <c r="I126" s="186" t="s">
        <v>242</v>
      </c>
    </row>
    <row r="127" spans="1:9">
      <c r="A127" s="409" t="s">
        <v>483</v>
      </c>
      <c r="B127" s="313"/>
      <c r="C127" s="58"/>
      <c r="D127" s="186"/>
      <c r="E127" s="413"/>
      <c r="F127" s="60"/>
      <c r="G127" s="505" t="s">
        <v>1234</v>
      </c>
      <c r="H127" s="190">
        <v>2200</v>
      </c>
      <c r="I127" s="190">
        <v>2400</v>
      </c>
    </row>
    <row r="128" spans="1:9">
      <c r="A128" s="108"/>
      <c r="B128" s="313"/>
      <c r="C128" s="58"/>
      <c r="D128" s="190"/>
      <c r="E128" s="413"/>
      <c r="F128" s="60"/>
      <c r="G128" s="505" t="s">
        <v>1235</v>
      </c>
      <c r="H128" s="190">
        <v>28385474</v>
      </c>
      <c r="I128" s="190">
        <v>23906337</v>
      </c>
    </row>
    <row r="129" spans="1:9">
      <c r="A129" s="409" t="s">
        <v>266</v>
      </c>
      <c r="B129" s="313"/>
      <c r="C129" s="58"/>
      <c r="D129" s="190"/>
      <c r="E129" s="413"/>
      <c r="F129" s="60"/>
      <c r="G129" s="505" t="s">
        <v>1236</v>
      </c>
      <c r="H129" s="190">
        <v>1984050</v>
      </c>
      <c r="I129" s="190">
        <v>2104850</v>
      </c>
    </row>
    <row r="130" spans="1:9">
      <c r="A130" s="60"/>
      <c r="B130" s="462"/>
      <c r="C130" s="58"/>
      <c r="D130" s="190"/>
      <c r="E130" s="413"/>
      <c r="F130" s="60"/>
      <c r="G130" s="505" t="s">
        <v>1237</v>
      </c>
      <c r="H130" s="186" t="s">
        <v>242</v>
      </c>
      <c r="I130" s="186" t="s">
        <v>242</v>
      </c>
    </row>
    <row r="131" spans="1:9">
      <c r="A131" s="60"/>
      <c r="B131" s="462" t="s">
        <v>540</v>
      </c>
      <c r="C131" s="58"/>
      <c r="D131" s="190"/>
      <c r="E131" s="413"/>
      <c r="F131" s="60"/>
      <c r="G131" s="505" t="s">
        <v>1238</v>
      </c>
      <c r="H131" s="190">
        <f>20076866+606792</f>
        <v>20683658</v>
      </c>
      <c r="I131" s="190">
        <v>13943091</v>
      </c>
    </row>
    <row r="132" spans="1:9">
      <c r="A132" s="60"/>
      <c r="B132" s="313" t="s">
        <v>755</v>
      </c>
      <c r="C132" s="58">
        <v>663441</v>
      </c>
      <c r="D132" s="190">
        <v>717309</v>
      </c>
      <c r="E132" s="413"/>
      <c r="F132" s="60"/>
      <c r="G132" s="505" t="s">
        <v>1239</v>
      </c>
      <c r="H132" s="186" t="s">
        <v>242</v>
      </c>
      <c r="I132" s="186" t="s">
        <v>242</v>
      </c>
    </row>
    <row r="133" spans="1:9">
      <c r="A133" s="60"/>
      <c r="B133" s="313" t="s">
        <v>754</v>
      </c>
      <c r="C133" s="58">
        <v>293679</v>
      </c>
      <c r="D133" s="190">
        <v>211182</v>
      </c>
      <c r="E133" s="413"/>
      <c r="F133" s="60"/>
      <c r="G133" s="505" t="s">
        <v>1240</v>
      </c>
      <c r="H133" s="190">
        <v>440</v>
      </c>
      <c r="I133" s="190">
        <v>480</v>
      </c>
    </row>
    <row r="134" spans="1:9">
      <c r="A134" s="60"/>
      <c r="B134" s="313" t="s">
        <v>753</v>
      </c>
      <c r="C134" s="58">
        <v>1316103</v>
      </c>
      <c r="D134" s="190">
        <v>471243</v>
      </c>
      <c r="E134" s="413"/>
      <c r="F134" s="60"/>
      <c r="G134" s="505" t="s">
        <v>1241</v>
      </c>
      <c r="H134" s="186" t="s">
        <v>242</v>
      </c>
      <c r="I134" s="186" t="s">
        <v>242</v>
      </c>
    </row>
    <row r="135" spans="1:9">
      <c r="A135" s="60"/>
      <c r="B135" s="313" t="s">
        <v>752</v>
      </c>
      <c r="C135" s="58">
        <v>1942675</v>
      </c>
      <c r="D135" s="190">
        <v>1309514</v>
      </c>
      <c r="E135" s="413"/>
      <c r="F135" s="60"/>
      <c r="G135" s="284" t="s">
        <v>1388</v>
      </c>
      <c r="H135" s="58">
        <v>159450</v>
      </c>
      <c r="I135" s="190">
        <v>52800</v>
      </c>
    </row>
    <row r="136" spans="1:9">
      <c r="A136" s="60"/>
      <c r="B136" s="313" t="s">
        <v>751</v>
      </c>
      <c r="C136" s="58">
        <v>8282929</v>
      </c>
      <c r="D136" s="190">
        <v>7097006</v>
      </c>
      <c r="E136" s="413"/>
      <c r="F136" s="60"/>
      <c r="G136" s="284" t="s">
        <v>1418</v>
      </c>
      <c r="H136" s="58">
        <v>42606</v>
      </c>
      <c r="I136" s="186" t="s">
        <v>242</v>
      </c>
    </row>
    <row r="137" spans="1:9">
      <c r="A137" s="60"/>
      <c r="B137" s="313" t="s">
        <v>750</v>
      </c>
      <c r="C137" s="58">
        <v>717259</v>
      </c>
      <c r="D137" s="190">
        <v>672448</v>
      </c>
      <c r="E137" s="413"/>
      <c r="F137" s="414"/>
      <c r="G137" s="410" t="s">
        <v>164</v>
      </c>
      <c r="H137" s="58"/>
      <c r="I137" s="190"/>
    </row>
    <row r="138" spans="1:9">
      <c r="A138" s="60"/>
      <c r="B138" s="313" t="s">
        <v>749</v>
      </c>
      <c r="C138" s="58">
        <v>760875</v>
      </c>
      <c r="D138" s="190">
        <v>963000</v>
      </c>
      <c r="E138" s="413"/>
      <c r="F138" s="414"/>
      <c r="G138" s="284"/>
      <c r="H138" s="58"/>
      <c r="I138" s="190"/>
    </row>
    <row r="139" spans="1:9">
      <c r="A139" s="60"/>
      <c r="B139" s="313" t="s">
        <v>748</v>
      </c>
      <c r="C139" s="58">
        <v>853552</v>
      </c>
      <c r="D139" s="190">
        <v>765016</v>
      </c>
      <c r="E139" s="413"/>
      <c r="F139" s="414"/>
      <c r="G139" s="284" t="s">
        <v>854</v>
      </c>
      <c r="H139" s="58">
        <f>781781+6747306</f>
        <v>7529087</v>
      </c>
      <c r="I139" s="190">
        <v>7528288</v>
      </c>
    </row>
    <row r="140" spans="1:9">
      <c r="A140" s="60"/>
      <c r="B140" s="313" t="s">
        <v>747</v>
      </c>
      <c r="C140" s="58">
        <v>476102</v>
      </c>
      <c r="D140" s="190">
        <v>787875</v>
      </c>
      <c r="E140" s="413"/>
      <c r="F140" s="414"/>
      <c r="G140" s="505" t="s">
        <v>853</v>
      </c>
      <c r="H140" s="186" t="s">
        <v>242</v>
      </c>
      <c r="I140" s="186" t="s">
        <v>242</v>
      </c>
    </row>
    <row r="141" spans="1:9">
      <c r="A141" s="60"/>
      <c r="B141" s="313" t="s">
        <v>746</v>
      </c>
      <c r="C141" s="58"/>
      <c r="D141" s="186" t="s">
        <v>242</v>
      </c>
      <c r="E141" s="413"/>
      <c r="F141" s="60"/>
      <c r="G141" s="505" t="s">
        <v>852</v>
      </c>
      <c r="H141" s="186" t="s">
        <v>242</v>
      </c>
      <c r="I141" s="190">
        <v>11539</v>
      </c>
    </row>
    <row r="142" spans="1:9">
      <c r="A142" s="60"/>
      <c r="B142" s="313" t="s">
        <v>745</v>
      </c>
      <c r="C142" s="58">
        <v>79045</v>
      </c>
      <c r="D142" s="186" t="s">
        <v>242</v>
      </c>
      <c r="E142" s="413"/>
      <c r="F142" s="60"/>
      <c r="G142" s="505" t="s">
        <v>851</v>
      </c>
      <c r="H142" s="186" t="s">
        <v>242</v>
      </c>
      <c r="I142" s="186" t="s">
        <v>242</v>
      </c>
    </row>
    <row r="143" spans="1:9">
      <c r="A143" s="60"/>
      <c r="B143" s="505" t="s">
        <v>744</v>
      </c>
      <c r="C143" s="186" t="s">
        <v>242</v>
      </c>
      <c r="D143" s="186" t="s">
        <v>242</v>
      </c>
      <c r="E143" s="413"/>
      <c r="F143" s="60"/>
      <c r="G143" s="505" t="s">
        <v>1054</v>
      </c>
      <c r="H143" s="190">
        <v>109700</v>
      </c>
      <c r="I143" s="190">
        <v>6621100</v>
      </c>
    </row>
    <row r="144" spans="1:9">
      <c r="A144" s="60"/>
      <c r="B144" s="505" t="s">
        <v>743</v>
      </c>
      <c r="C144" s="186" t="s">
        <v>242</v>
      </c>
      <c r="D144" s="186" t="s">
        <v>242</v>
      </c>
      <c r="E144" s="413"/>
      <c r="F144" s="58"/>
      <c r="G144" s="505" t="s">
        <v>850</v>
      </c>
      <c r="H144" s="190">
        <v>2046146</v>
      </c>
      <c r="I144" s="190">
        <v>2153311</v>
      </c>
    </row>
    <row r="145" spans="1:9">
      <c r="A145" s="60"/>
      <c r="B145" s="581" t="s">
        <v>742</v>
      </c>
      <c r="C145" s="186" t="s">
        <v>242</v>
      </c>
      <c r="D145" s="186" t="s">
        <v>242</v>
      </c>
      <c r="E145" s="413"/>
      <c r="F145" s="60"/>
      <c r="G145" s="505" t="s">
        <v>849</v>
      </c>
      <c r="H145" s="190"/>
      <c r="I145" s="190">
        <v>308315</v>
      </c>
    </row>
    <row r="146" spans="1:9">
      <c r="A146" s="60"/>
      <c r="B146" s="505" t="s">
        <v>741</v>
      </c>
      <c r="C146" s="186" t="s">
        <v>242</v>
      </c>
      <c r="D146" s="186" t="s">
        <v>242</v>
      </c>
      <c r="E146" s="413"/>
      <c r="F146" s="60"/>
      <c r="G146" s="505" t="s">
        <v>848</v>
      </c>
      <c r="H146" s="190">
        <v>11556673</v>
      </c>
      <c r="I146" s="190">
        <v>4446083</v>
      </c>
    </row>
    <row r="147" spans="1:9">
      <c r="A147" s="60"/>
      <c r="B147" s="505" t="s">
        <v>740</v>
      </c>
      <c r="C147" s="186" t="s">
        <v>242</v>
      </c>
      <c r="D147" s="186" t="s">
        <v>242</v>
      </c>
      <c r="E147" s="413"/>
      <c r="F147" s="60"/>
      <c r="G147" s="505" t="s">
        <v>847</v>
      </c>
      <c r="H147" s="186" t="s">
        <v>242</v>
      </c>
      <c r="I147" s="186" t="s">
        <v>242</v>
      </c>
    </row>
    <row r="148" spans="1:9">
      <c r="A148" s="60"/>
      <c r="B148" s="505" t="s">
        <v>739</v>
      </c>
      <c r="C148" s="186" t="s">
        <v>242</v>
      </c>
      <c r="D148" s="186" t="s">
        <v>242</v>
      </c>
      <c r="E148" s="413"/>
      <c r="F148" s="60"/>
      <c r="G148" s="505" t="s">
        <v>846</v>
      </c>
      <c r="H148" s="186" t="s">
        <v>242</v>
      </c>
      <c r="I148" s="190">
        <v>29690</v>
      </c>
    </row>
    <row r="149" spans="1:9">
      <c r="A149" s="60" t="s">
        <v>112</v>
      </c>
      <c r="B149" s="505" t="s">
        <v>735</v>
      </c>
      <c r="C149" s="186" t="s">
        <v>242</v>
      </c>
      <c r="D149" s="186" t="s">
        <v>242</v>
      </c>
      <c r="E149" s="413"/>
      <c r="F149" s="60"/>
      <c r="G149" s="505" t="s">
        <v>1053</v>
      </c>
      <c r="H149" s="186" t="s">
        <v>242</v>
      </c>
      <c r="I149" s="190">
        <v>272034</v>
      </c>
    </row>
    <row r="150" spans="1:9">
      <c r="A150" s="60"/>
      <c r="B150" s="505" t="s">
        <v>736</v>
      </c>
      <c r="C150" s="186" t="s">
        <v>242</v>
      </c>
      <c r="D150" s="190">
        <v>3708738</v>
      </c>
      <c r="E150" s="413"/>
      <c r="F150" s="60"/>
      <c r="G150" s="505" t="s">
        <v>845</v>
      </c>
      <c r="H150" s="186" t="s">
        <v>242</v>
      </c>
      <c r="I150" s="186" t="s">
        <v>242</v>
      </c>
    </row>
    <row r="151" spans="1:9">
      <c r="A151" s="60"/>
      <c r="B151" s="505" t="s">
        <v>737</v>
      </c>
      <c r="C151" s="186" t="s">
        <v>242</v>
      </c>
      <c r="D151" s="186" t="s">
        <v>242</v>
      </c>
      <c r="E151" s="413"/>
      <c r="F151" s="60"/>
      <c r="G151" s="505" t="s">
        <v>844</v>
      </c>
      <c r="H151" s="190">
        <v>4670</v>
      </c>
      <c r="I151" s="190">
        <v>306731</v>
      </c>
    </row>
    <row r="152" spans="1:9">
      <c r="A152" s="60"/>
      <c r="B152" s="505" t="s">
        <v>738</v>
      </c>
      <c r="C152" s="186" t="s">
        <v>242</v>
      </c>
      <c r="D152" s="186" t="s">
        <v>242</v>
      </c>
      <c r="E152" s="413"/>
      <c r="F152" s="60"/>
      <c r="G152" s="505" t="s">
        <v>843</v>
      </c>
      <c r="H152" s="190">
        <v>86396</v>
      </c>
      <c r="I152" s="190">
        <v>82901</v>
      </c>
    </row>
    <row r="153" spans="1:9">
      <c r="A153" s="60"/>
      <c r="B153" s="505" t="s">
        <v>1242</v>
      </c>
      <c r="C153" s="186" t="s">
        <v>242</v>
      </c>
      <c r="D153" s="186" t="s">
        <v>242</v>
      </c>
      <c r="E153" s="413"/>
      <c r="F153" s="60"/>
      <c r="G153" s="505" t="s">
        <v>1060</v>
      </c>
      <c r="H153" s="190"/>
      <c r="I153" s="190">
        <v>46981</v>
      </c>
    </row>
    <row r="154" spans="1:9">
      <c r="A154" s="60"/>
      <c r="B154" s="505" t="s">
        <v>934</v>
      </c>
      <c r="C154" s="186" t="s">
        <v>242</v>
      </c>
      <c r="D154" s="186" t="s">
        <v>242</v>
      </c>
      <c r="E154" s="413"/>
      <c r="F154" s="60"/>
      <c r="G154" s="505" t="s">
        <v>842</v>
      </c>
      <c r="H154" s="190">
        <v>4488940</v>
      </c>
      <c r="I154" s="190">
        <v>1453924</v>
      </c>
    </row>
    <row r="155" spans="1:9">
      <c r="A155" s="60"/>
      <c r="B155" s="313"/>
      <c r="C155" s="58"/>
      <c r="D155" s="190"/>
      <c r="E155" s="413"/>
      <c r="F155" s="60"/>
      <c r="G155" s="505" t="s">
        <v>841</v>
      </c>
      <c r="H155" s="190">
        <v>33803</v>
      </c>
      <c r="I155" s="190">
        <v>2366109</v>
      </c>
    </row>
    <row r="156" spans="1:9">
      <c r="A156" s="60"/>
      <c r="B156" s="462" t="s">
        <v>304</v>
      </c>
      <c r="C156" s="58"/>
      <c r="D156" s="190"/>
      <c r="E156" s="413"/>
      <c r="F156" s="60"/>
      <c r="G156" s="505" t="s">
        <v>840</v>
      </c>
      <c r="H156" s="186" t="s">
        <v>242</v>
      </c>
      <c r="I156" s="190">
        <v>141474</v>
      </c>
    </row>
    <row r="157" spans="1:9">
      <c r="A157" s="60"/>
      <c r="B157" s="313" t="s">
        <v>762</v>
      </c>
      <c r="C157" s="58">
        <v>2200</v>
      </c>
      <c r="D157" s="186" t="s">
        <v>242</v>
      </c>
      <c r="E157" s="413"/>
      <c r="F157" s="60"/>
      <c r="G157" s="505" t="s">
        <v>839</v>
      </c>
      <c r="H157" s="190">
        <v>920</v>
      </c>
      <c r="I157" s="190">
        <v>18260</v>
      </c>
    </row>
    <row r="158" spans="1:9">
      <c r="A158" s="60"/>
      <c r="B158" s="313" t="s">
        <v>761</v>
      </c>
      <c r="C158" s="58">
        <v>1000</v>
      </c>
      <c r="D158" s="186" t="s">
        <v>242</v>
      </c>
      <c r="E158" s="413"/>
      <c r="F158" s="60"/>
      <c r="G158" s="505" t="s">
        <v>838</v>
      </c>
      <c r="H158" s="186" t="s">
        <v>242</v>
      </c>
      <c r="I158" s="186" t="s">
        <v>242</v>
      </c>
    </row>
    <row r="159" spans="1:9">
      <c r="A159" s="60"/>
      <c r="B159" s="313" t="s">
        <v>760</v>
      </c>
      <c r="C159" s="58">
        <v>720</v>
      </c>
      <c r="D159" s="190">
        <v>1800</v>
      </c>
      <c r="E159" s="413"/>
      <c r="F159" s="60"/>
      <c r="G159" s="505" t="s">
        <v>837</v>
      </c>
      <c r="H159" s="186" t="s">
        <v>242</v>
      </c>
      <c r="I159" s="190">
        <v>190974</v>
      </c>
    </row>
    <row r="160" spans="1:9">
      <c r="A160" s="60"/>
      <c r="B160" s="313" t="s">
        <v>759</v>
      </c>
      <c r="C160" s="58">
        <f>92200</f>
        <v>92200</v>
      </c>
      <c r="D160" s="190">
        <v>85400</v>
      </c>
      <c r="E160" s="413"/>
      <c r="F160" s="416"/>
      <c r="G160" s="505" t="s">
        <v>836</v>
      </c>
      <c r="H160" s="190">
        <v>9345</v>
      </c>
      <c r="I160" s="190">
        <f>31524+14563</f>
        <v>46087</v>
      </c>
    </row>
    <row r="161" spans="1:9">
      <c r="A161" s="60"/>
      <c r="B161" s="313" t="s">
        <v>758</v>
      </c>
      <c r="C161" s="58">
        <v>5798770</v>
      </c>
      <c r="D161" s="190">
        <v>4802526</v>
      </c>
      <c r="E161" s="413"/>
      <c r="F161" s="416"/>
      <c r="G161" s="505" t="s">
        <v>835</v>
      </c>
      <c r="H161" s="186" t="s">
        <v>242</v>
      </c>
      <c r="I161" s="186" t="s">
        <v>242</v>
      </c>
    </row>
    <row r="162" spans="1:9">
      <c r="A162" s="60"/>
      <c r="B162" s="313" t="s">
        <v>757</v>
      </c>
      <c r="C162" s="58">
        <v>787400</v>
      </c>
      <c r="D162" s="190">
        <v>806404</v>
      </c>
      <c r="E162" s="413"/>
      <c r="F162" s="416"/>
      <c r="G162" s="505" t="s">
        <v>1055</v>
      </c>
      <c r="H162" s="186" t="s">
        <v>242</v>
      </c>
      <c r="I162" s="190">
        <v>19170</v>
      </c>
    </row>
    <row r="163" spans="1:9">
      <c r="A163" s="60"/>
      <c r="B163" s="505" t="s">
        <v>756</v>
      </c>
      <c r="C163" s="186" t="s">
        <v>242</v>
      </c>
      <c r="D163" s="186" t="s">
        <v>242</v>
      </c>
      <c r="E163" s="413"/>
      <c r="F163" s="416"/>
      <c r="G163" s="505" t="s">
        <v>1059</v>
      </c>
      <c r="H163" s="190">
        <v>321118</v>
      </c>
      <c r="I163" s="190">
        <v>235411</v>
      </c>
    </row>
    <row r="164" spans="1:9" ht="16.2" thickBot="1">
      <c r="A164" s="403"/>
      <c r="B164" s="314" t="s">
        <v>1243</v>
      </c>
      <c r="C164" s="61">
        <v>96000</v>
      </c>
      <c r="D164" s="439">
        <v>96000</v>
      </c>
      <c r="E164" s="413"/>
      <c r="F164" s="417"/>
      <c r="G164" s="507" t="s">
        <v>1056</v>
      </c>
      <c r="H164" s="196" t="s">
        <v>242</v>
      </c>
      <c r="I164" s="439">
        <v>5333363</v>
      </c>
    </row>
    <row r="165" spans="1:9">
      <c r="A165" s="495"/>
      <c r="E165" s="54"/>
      <c r="F165" s="617" t="s">
        <v>992</v>
      </c>
      <c r="G165" s="617"/>
      <c r="H165" s="617"/>
      <c r="I165" s="617"/>
    </row>
    <row r="166" spans="1:9" ht="16.2" thickBot="1">
      <c r="A166" s="495"/>
      <c r="E166" s="54"/>
      <c r="F166" s="618" t="s">
        <v>1021</v>
      </c>
      <c r="G166" s="618"/>
      <c r="H166" s="494"/>
      <c r="I166" s="399"/>
    </row>
    <row r="167" spans="1:9">
      <c r="A167" s="277"/>
      <c r="B167" s="450" t="s">
        <v>916</v>
      </c>
      <c r="C167" s="194">
        <v>300000</v>
      </c>
      <c r="D167" s="352">
        <v>360000</v>
      </c>
      <c r="E167" s="413"/>
      <c r="F167" s="418"/>
      <c r="G167" s="450" t="s">
        <v>834</v>
      </c>
      <c r="H167" s="194">
        <v>144662</v>
      </c>
      <c r="I167" s="352">
        <f>275234+240+5454</f>
        <v>280928</v>
      </c>
    </row>
    <row r="168" spans="1:9">
      <c r="A168" s="60"/>
      <c r="B168" s="284" t="s">
        <v>917</v>
      </c>
      <c r="C168" s="58">
        <v>1800</v>
      </c>
      <c r="D168" s="186" t="s">
        <v>242</v>
      </c>
      <c r="E168" s="413"/>
      <c r="F168" s="416"/>
      <c r="G168" s="284" t="s">
        <v>832</v>
      </c>
      <c r="H168" s="58">
        <v>102959</v>
      </c>
      <c r="I168" s="190">
        <v>86925</v>
      </c>
    </row>
    <row r="169" spans="1:9">
      <c r="A169" s="60"/>
      <c r="B169" s="284" t="s">
        <v>918</v>
      </c>
      <c r="C169" s="58">
        <v>7997</v>
      </c>
      <c r="D169" s="186" t="s">
        <v>242</v>
      </c>
      <c r="E169" s="413"/>
      <c r="F169" s="416"/>
      <c r="G169" s="284" t="s">
        <v>1057</v>
      </c>
      <c r="H169" s="58">
        <v>89554</v>
      </c>
      <c r="I169" s="190">
        <v>2685747</v>
      </c>
    </row>
    <row r="170" spans="1:9">
      <c r="A170" s="60"/>
      <c r="B170" s="284" t="s">
        <v>919</v>
      </c>
      <c r="C170" s="58">
        <v>9995179</v>
      </c>
      <c r="D170" s="190">
        <v>8983379</v>
      </c>
      <c r="E170" s="413"/>
      <c r="F170" s="416"/>
      <c r="G170" s="505" t="s">
        <v>833</v>
      </c>
      <c r="H170" s="186" t="s">
        <v>242</v>
      </c>
      <c r="I170" s="190">
        <v>2333730</v>
      </c>
    </row>
    <row r="171" spans="1:9">
      <c r="A171" s="60"/>
      <c r="B171" s="505" t="s">
        <v>920</v>
      </c>
      <c r="C171" s="186" t="s">
        <v>242</v>
      </c>
      <c r="D171" s="186" t="s">
        <v>242</v>
      </c>
      <c r="E171" s="413"/>
      <c r="F171" s="416"/>
      <c r="G171" s="505" t="s">
        <v>1058</v>
      </c>
      <c r="H171" s="186" t="s">
        <v>242</v>
      </c>
      <c r="I171" s="190">
        <v>190063</v>
      </c>
    </row>
    <row r="172" spans="1:9">
      <c r="A172" s="60"/>
      <c r="B172" s="505" t="s">
        <v>921</v>
      </c>
      <c r="C172" s="190">
        <v>2200</v>
      </c>
      <c r="D172" s="190">
        <v>2400</v>
      </c>
      <c r="E172" s="413"/>
      <c r="F172" s="416"/>
      <c r="G172" s="505" t="s">
        <v>915</v>
      </c>
      <c r="H172" s="190">
        <v>938027</v>
      </c>
      <c r="I172" s="190">
        <v>999462</v>
      </c>
    </row>
    <row r="173" spans="1:9">
      <c r="A173" s="60"/>
      <c r="B173" s="505" t="s">
        <v>922</v>
      </c>
      <c r="C173" s="190">
        <f>28638198+14979</f>
        <v>28653177</v>
      </c>
      <c r="D173" s="190">
        <v>23933323</v>
      </c>
      <c r="E173" s="413"/>
      <c r="F173" s="416"/>
      <c r="G173" s="505" t="s">
        <v>1437</v>
      </c>
      <c r="H173" s="190">
        <v>150000</v>
      </c>
      <c r="I173" s="190"/>
    </row>
    <row r="174" spans="1:9">
      <c r="A174" s="60"/>
      <c r="B174" s="505" t="s">
        <v>923</v>
      </c>
      <c r="C174" s="190">
        <v>1985850</v>
      </c>
      <c r="D174" s="190">
        <v>2104850</v>
      </c>
      <c r="E174" s="413"/>
      <c r="F174" s="414"/>
      <c r="G174" s="409" t="s">
        <v>69</v>
      </c>
      <c r="H174" s="190"/>
      <c r="I174" s="190"/>
    </row>
    <row r="175" spans="1:9">
      <c r="A175" s="60"/>
      <c r="B175" s="505" t="s">
        <v>924</v>
      </c>
      <c r="C175" s="190">
        <f>20458669+606792</f>
        <v>21065461</v>
      </c>
      <c r="D175" s="190">
        <v>14619853</v>
      </c>
      <c r="E175" s="413"/>
      <c r="F175" s="60"/>
      <c r="G175" s="505" t="s">
        <v>70</v>
      </c>
      <c r="H175" s="186" t="s">
        <v>242</v>
      </c>
      <c r="I175" s="186" t="s">
        <v>242</v>
      </c>
    </row>
    <row r="176" spans="1:9">
      <c r="A176" s="60"/>
      <c r="B176" s="505" t="s">
        <v>925</v>
      </c>
      <c r="C176" s="186" t="s">
        <v>242</v>
      </c>
      <c r="D176" s="186" t="s">
        <v>242</v>
      </c>
      <c r="E176" s="413"/>
      <c r="F176" s="414"/>
      <c r="G176" s="505" t="s">
        <v>71</v>
      </c>
      <c r="H176" s="186" t="s">
        <v>242</v>
      </c>
      <c r="I176" s="186" t="s">
        <v>242</v>
      </c>
    </row>
    <row r="177" spans="1:9">
      <c r="A177" s="60"/>
      <c r="B177" s="505" t="s">
        <v>926</v>
      </c>
      <c r="C177" s="190">
        <v>440</v>
      </c>
      <c r="D177" s="190">
        <v>480</v>
      </c>
      <c r="E177" s="413"/>
      <c r="F177" s="60"/>
      <c r="G177" s="505" t="s">
        <v>72</v>
      </c>
      <c r="H177" s="190"/>
      <c r="I177" s="190"/>
    </row>
    <row r="178" spans="1:9">
      <c r="A178" s="60"/>
      <c r="B178" s="505" t="s">
        <v>927</v>
      </c>
      <c r="C178" s="186" t="s">
        <v>242</v>
      </c>
      <c r="D178" s="186" t="s">
        <v>242</v>
      </c>
      <c r="E178" s="413"/>
      <c r="F178" s="195"/>
      <c r="G178" s="505" t="s">
        <v>858</v>
      </c>
      <c r="H178" s="186" t="s">
        <v>242</v>
      </c>
      <c r="I178" s="186" t="s">
        <v>242</v>
      </c>
    </row>
    <row r="179" spans="1:9" s="62" customFormat="1">
      <c r="A179" s="60"/>
      <c r="B179" s="505" t="s">
        <v>930</v>
      </c>
      <c r="C179" s="190">
        <v>159450</v>
      </c>
      <c r="D179" s="190">
        <v>52800</v>
      </c>
      <c r="E179" s="413"/>
      <c r="F179" s="60"/>
      <c r="G179" s="505" t="s">
        <v>857</v>
      </c>
      <c r="H179" s="186" t="s">
        <v>242</v>
      </c>
      <c r="I179" s="186" t="s">
        <v>242</v>
      </c>
    </row>
    <row r="180" spans="1:9">
      <c r="A180" s="60"/>
      <c r="B180" s="505" t="s">
        <v>1061</v>
      </c>
      <c r="C180" s="190">
        <v>9000</v>
      </c>
      <c r="D180" s="190">
        <v>94440</v>
      </c>
      <c r="E180" s="413"/>
      <c r="F180" s="58"/>
      <c r="G180" s="505" t="s">
        <v>73</v>
      </c>
      <c r="H180" s="186" t="s">
        <v>242</v>
      </c>
      <c r="I180" s="186" t="s">
        <v>242</v>
      </c>
    </row>
    <row r="181" spans="1:9">
      <c r="A181" s="60"/>
      <c r="B181" s="505" t="s">
        <v>928</v>
      </c>
      <c r="C181" s="190">
        <v>2589719</v>
      </c>
      <c r="D181" s="190">
        <v>1411850</v>
      </c>
      <c r="E181" s="413"/>
      <c r="F181" s="60"/>
      <c r="G181" s="505" t="s">
        <v>855</v>
      </c>
      <c r="H181" s="190">
        <v>4264500</v>
      </c>
      <c r="I181" s="186" t="s">
        <v>242</v>
      </c>
    </row>
    <row r="182" spans="1:9">
      <c r="A182" s="60"/>
      <c r="B182" s="505" t="s">
        <v>929</v>
      </c>
      <c r="C182" s="186" t="s">
        <v>242</v>
      </c>
      <c r="D182" s="186" t="s">
        <v>242</v>
      </c>
      <c r="E182" s="413"/>
      <c r="F182" s="60"/>
      <c r="G182" s="505" t="s">
        <v>856</v>
      </c>
      <c r="H182" s="190">
        <v>15224930</v>
      </c>
      <c r="I182" s="190">
        <v>10208848</v>
      </c>
    </row>
    <row r="183" spans="1:9">
      <c r="A183" s="108"/>
      <c r="B183" s="284" t="s">
        <v>1419</v>
      </c>
      <c r="C183" s="58">
        <v>42606</v>
      </c>
      <c r="D183" s="186" t="s">
        <v>242</v>
      </c>
      <c r="E183" s="413"/>
      <c r="F183" s="416"/>
      <c r="G183" s="505"/>
      <c r="H183" s="190"/>
      <c r="I183" s="190"/>
    </row>
    <row r="184" spans="1:9">
      <c r="A184" s="108"/>
      <c r="B184" s="284"/>
      <c r="C184" s="58"/>
      <c r="D184" s="190"/>
      <c r="E184" s="413"/>
      <c r="F184" s="416"/>
      <c r="G184" s="284"/>
      <c r="H184" s="58"/>
      <c r="I184" s="190"/>
    </row>
    <row r="185" spans="1:9">
      <c r="A185" s="414"/>
      <c r="B185" s="410" t="s">
        <v>484</v>
      </c>
      <c r="C185" s="58">
        <f>64934+4720140</f>
        <v>4785074</v>
      </c>
      <c r="D185" s="190">
        <v>3305995</v>
      </c>
      <c r="E185" s="413"/>
      <c r="F185" s="416"/>
      <c r="G185" s="410" t="s">
        <v>1077</v>
      </c>
      <c r="H185" s="58"/>
      <c r="I185" s="190"/>
    </row>
    <row r="186" spans="1:9">
      <c r="A186" s="414"/>
      <c r="B186" s="410" t="s">
        <v>1070</v>
      </c>
      <c r="C186" s="58">
        <v>160238</v>
      </c>
      <c r="D186" s="190">
        <v>43120</v>
      </c>
      <c r="E186" s="413"/>
      <c r="F186" s="416"/>
      <c r="G186" s="284" t="s">
        <v>1063</v>
      </c>
      <c r="H186" s="58">
        <f>856141+1228646+661260+3119924</f>
        <v>5865971</v>
      </c>
      <c r="I186" s="190">
        <v>7286640</v>
      </c>
    </row>
    <row r="187" spans="1:9">
      <c r="A187" s="60"/>
      <c r="B187" s="284"/>
      <c r="C187" s="58"/>
      <c r="D187" s="190"/>
      <c r="E187" s="413"/>
      <c r="F187" s="416"/>
      <c r="G187" s="284" t="s">
        <v>1244</v>
      </c>
      <c r="H187" s="58">
        <v>33557</v>
      </c>
      <c r="I187" s="190">
        <f>10637+21+248581</f>
        <v>259239</v>
      </c>
    </row>
    <row r="188" spans="1:9">
      <c r="A188" s="60"/>
      <c r="B188" s="409" t="s">
        <v>1077</v>
      </c>
      <c r="C188" s="58"/>
      <c r="D188" s="190"/>
      <c r="E188" s="413"/>
      <c r="F188" s="416"/>
      <c r="G188" s="284" t="s">
        <v>1245</v>
      </c>
      <c r="H188" s="58">
        <v>283889</v>
      </c>
      <c r="I188" s="190">
        <v>239094</v>
      </c>
    </row>
    <row r="189" spans="1:9">
      <c r="A189" s="60"/>
      <c r="B189" s="505" t="s">
        <v>1062</v>
      </c>
      <c r="C189" s="58">
        <f>1384634+1369202+1474563+4952339</f>
        <v>9180738</v>
      </c>
      <c r="D189" s="190">
        <v>7285640</v>
      </c>
      <c r="E189" s="413"/>
      <c r="F189" s="416"/>
      <c r="G189" s="284" t="s">
        <v>1246</v>
      </c>
      <c r="H189" s="58">
        <v>33</v>
      </c>
      <c r="I189" s="190">
        <f>774+17+29</f>
        <v>820</v>
      </c>
    </row>
    <row r="190" spans="1:9">
      <c r="A190" s="60"/>
      <c r="B190" s="284" t="s">
        <v>1079</v>
      </c>
      <c r="C190" s="58">
        <v>35036</v>
      </c>
      <c r="D190" s="190">
        <f>10637+21+248581</f>
        <v>259239</v>
      </c>
      <c r="E190" s="413"/>
      <c r="F190" s="419"/>
      <c r="G190" s="284" t="s">
        <v>1420</v>
      </c>
      <c r="H190" s="58">
        <v>4756075</v>
      </c>
      <c r="I190" s="186" t="s">
        <v>242</v>
      </c>
    </row>
    <row r="191" spans="1:9">
      <c r="A191" s="60"/>
      <c r="B191" s="284" t="s">
        <v>1064</v>
      </c>
      <c r="C191" s="58">
        <v>283889</v>
      </c>
      <c r="D191" s="190">
        <v>138851</v>
      </c>
      <c r="E191" s="413"/>
      <c r="F191" s="419"/>
      <c r="G191" s="409" t="s">
        <v>488</v>
      </c>
      <c r="H191" s="186" t="s">
        <v>242</v>
      </c>
      <c r="I191" s="190">
        <v>1954070</v>
      </c>
    </row>
    <row r="192" spans="1:9">
      <c r="A192" s="60"/>
      <c r="B192" s="284" t="s">
        <v>1078</v>
      </c>
      <c r="C192" s="58">
        <v>33</v>
      </c>
      <c r="D192" s="190">
        <f>774+17+29</f>
        <v>820</v>
      </c>
      <c r="E192" s="413"/>
      <c r="F192" s="414"/>
      <c r="G192" s="505"/>
      <c r="H192" s="190"/>
      <c r="I192" s="190"/>
    </row>
    <row r="193" spans="1:9">
      <c r="A193" s="60"/>
      <c r="B193" s="284" t="s">
        <v>1420</v>
      </c>
      <c r="C193" s="58">
        <v>4756075</v>
      </c>
      <c r="D193" s="186" t="s">
        <v>242</v>
      </c>
      <c r="E193" s="413"/>
      <c r="F193" s="414"/>
      <c r="G193" s="505"/>
      <c r="H193" s="190"/>
      <c r="I193" s="190"/>
    </row>
    <row r="194" spans="1:9">
      <c r="A194" s="60"/>
      <c r="B194" s="284"/>
      <c r="C194" s="58"/>
      <c r="D194" s="190"/>
      <c r="E194" s="413"/>
      <c r="F194" s="58"/>
      <c r="G194" s="409" t="s">
        <v>931</v>
      </c>
      <c r="H194" s="190"/>
      <c r="I194" s="190"/>
    </row>
    <row r="195" spans="1:9">
      <c r="A195" s="60"/>
      <c r="B195" s="410" t="s">
        <v>464</v>
      </c>
      <c r="C195" s="58"/>
      <c r="D195" s="190"/>
      <c r="E195" s="413"/>
      <c r="F195" s="58"/>
      <c r="G195" s="409" t="s">
        <v>964</v>
      </c>
      <c r="H195" s="186" t="s">
        <v>242</v>
      </c>
      <c r="I195" s="186" t="s">
        <v>242</v>
      </c>
    </row>
    <row r="196" spans="1:9">
      <c r="A196" s="60"/>
      <c r="B196" s="108" t="s">
        <v>731</v>
      </c>
      <c r="C196" s="186" t="s">
        <v>242</v>
      </c>
      <c r="D196" s="190">
        <v>215713</v>
      </c>
      <c r="E196" s="413"/>
      <c r="F196" s="58"/>
      <c r="G196" s="505"/>
      <c r="H196" s="190"/>
      <c r="I196" s="190"/>
    </row>
    <row r="197" spans="1:9">
      <c r="A197" s="60"/>
      <c r="B197" s="108" t="s">
        <v>732</v>
      </c>
      <c r="C197" s="190"/>
      <c r="D197" s="186" t="s">
        <v>242</v>
      </c>
      <c r="E197" s="413"/>
      <c r="F197" s="58"/>
      <c r="G197" s="409" t="s">
        <v>966</v>
      </c>
      <c r="H197" s="186" t="s">
        <v>242</v>
      </c>
      <c r="I197" s="190">
        <v>10000</v>
      </c>
    </row>
    <row r="198" spans="1:9">
      <c r="A198" s="195"/>
      <c r="B198" s="284" t="s">
        <v>965</v>
      </c>
      <c r="C198" s="58">
        <v>8057416</v>
      </c>
      <c r="D198" s="186" t="s">
        <v>242</v>
      </c>
      <c r="E198" s="413"/>
      <c r="F198" s="58"/>
      <c r="G198" s="409"/>
      <c r="H198" s="190"/>
      <c r="I198" s="190"/>
    </row>
    <row r="199" spans="1:9">
      <c r="A199" s="60"/>
      <c r="B199" s="284" t="s">
        <v>546</v>
      </c>
      <c r="C199" s="58"/>
      <c r="D199" s="451"/>
      <c r="E199" s="413"/>
      <c r="F199" s="58"/>
      <c r="G199" s="409" t="s">
        <v>676</v>
      </c>
      <c r="H199" s="190"/>
      <c r="I199" s="190"/>
    </row>
    <row r="200" spans="1:9">
      <c r="A200" s="60"/>
      <c r="B200" s="284" t="s">
        <v>462</v>
      </c>
      <c r="C200" s="58">
        <v>99450</v>
      </c>
      <c r="D200" s="190">
        <v>584850</v>
      </c>
      <c r="E200" s="413"/>
      <c r="F200" s="58"/>
      <c r="G200" s="505" t="s">
        <v>862</v>
      </c>
      <c r="H200" s="186" t="s">
        <v>242</v>
      </c>
      <c r="I200" s="186" t="s">
        <v>242</v>
      </c>
    </row>
    <row r="201" spans="1:9">
      <c r="A201" s="60"/>
      <c r="B201" s="284" t="s">
        <v>463</v>
      </c>
      <c r="C201" s="58">
        <v>145990</v>
      </c>
      <c r="D201" s="190">
        <v>219205</v>
      </c>
      <c r="E201" s="413"/>
      <c r="F201" s="58"/>
      <c r="G201" s="505" t="s">
        <v>861</v>
      </c>
      <c r="H201" s="186" t="s">
        <v>242</v>
      </c>
      <c r="I201" s="186" t="s">
        <v>242</v>
      </c>
    </row>
    <row r="202" spans="1:9">
      <c r="A202" s="60"/>
      <c r="B202" s="284" t="s">
        <v>485</v>
      </c>
      <c r="C202" s="58">
        <v>5255</v>
      </c>
      <c r="D202" s="190">
        <v>288175</v>
      </c>
      <c r="E202" s="413"/>
      <c r="F202" s="58"/>
      <c r="G202" s="505" t="s">
        <v>859</v>
      </c>
      <c r="H202" s="186" t="s">
        <v>242</v>
      </c>
      <c r="I202" s="186" t="s">
        <v>242</v>
      </c>
    </row>
    <row r="203" spans="1:9">
      <c r="A203" s="108"/>
      <c r="B203" s="284" t="s">
        <v>733</v>
      </c>
      <c r="C203" s="58"/>
      <c r="D203" s="190"/>
      <c r="E203" s="413"/>
      <c r="F203" s="58"/>
      <c r="G203" s="505" t="s">
        <v>860</v>
      </c>
      <c r="H203" s="186" t="s">
        <v>242</v>
      </c>
      <c r="I203" s="186" t="s">
        <v>242</v>
      </c>
    </row>
    <row r="204" spans="1:9">
      <c r="A204" s="108"/>
      <c r="B204" s="284" t="s">
        <v>459</v>
      </c>
      <c r="C204" s="58">
        <v>152000</v>
      </c>
      <c r="D204" s="190">
        <v>2000</v>
      </c>
      <c r="E204" s="413"/>
      <c r="F204" s="58"/>
      <c r="G204" s="505"/>
      <c r="H204" s="190"/>
      <c r="I204" s="190"/>
    </row>
    <row r="205" spans="1:9">
      <c r="A205" s="108"/>
      <c r="B205" s="284" t="s">
        <v>460</v>
      </c>
      <c r="C205" s="58">
        <v>359720</v>
      </c>
      <c r="D205" s="190">
        <v>567760</v>
      </c>
      <c r="E205" s="413"/>
      <c r="F205" s="414" t="s">
        <v>64</v>
      </c>
      <c r="G205" s="409" t="s">
        <v>66</v>
      </c>
      <c r="H205" s="190"/>
      <c r="I205" s="190"/>
    </row>
    <row r="206" spans="1:9">
      <c r="A206" s="108"/>
      <c r="B206" s="284" t="s">
        <v>537</v>
      </c>
      <c r="C206" s="58">
        <v>268700</v>
      </c>
      <c r="D206" s="190">
        <v>252950</v>
      </c>
      <c r="E206" s="413"/>
      <c r="F206" s="60"/>
      <c r="G206" s="409" t="s">
        <v>74</v>
      </c>
      <c r="H206" s="190"/>
      <c r="I206" s="190"/>
    </row>
    <row r="207" spans="1:9">
      <c r="A207" s="108"/>
      <c r="B207" s="505" t="s">
        <v>461</v>
      </c>
      <c r="C207" s="186" t="s">
        <v>242</v>
      </c>
      <c r="D207" s="186" t="s">
        <v>242</v>
      </c>
      <c r="E207" s="413"/>
      <c r="F207" s="60"/>
      <c r="G207" s="505" t="s">
        <v>864</v>
      </c>
      <c r="H207" s="186" t="s">
        <v>242</v>
      </c>
      <c r="I207" s="186" t="s">
        <v>242</v>
      </c>
    </row>
    <row r="208" spans="1:9">
      <c r="A208" s="108"/>
      <c r="B208" s="284" t="s">
        <v>734</v>
      </c>
      <c r="C208" s="58">
        <v>4217345</v>
      </c>
      <c r="D208" s="190">
        <v>2853000</v>
      </c>
      <c r="E208" s="413"/>
      <c r="F208" s="60"/>
      <c r="G208" s="505" t="s">
        <v>863</v>
      </c>
      <c r="H208" s="186" t="s">
        <v>242</v>
      </c>
      <c r="I208" s="186" t="s">
        <v>242</v>
      </c>
    </row>
    <row r="209" spans="1:9">
      <c r="A209" s="108"/>
      <c r="B209" s="284"/>
      <c r="C209" s="58"/>
      <c r="D209" s="190"/>
      <c r="E209" s="413"/>
      <c r="F209" s="60"/>
      <c r="G209" s="284"/>
      <c r="H209" s="58"/>
      <c r="I209" s="190"/>
    </row>
    <row r="210" spans="1:9">
      <c r="A210" s="108"/>
      <c r="B210" s="505" t="s">
        <v>1247</v>
      </c>
      <c r="C210" s="186" t="s">
        <v>242</v>
      </c>
      <c r="D210" s="190">
        <v>5000</v>
      </c>
      <c r="E210" s="413"/>
      <c r="F210" s="60"/>
      <c r="G210" s="410" t="s">
        <v>75</v>
      </c>
      <c r="H210" s="58"/>
      <c r="I210" s="190"/>
    </row>
    <row r="211" spans="1:9">
      <c r="A211" s="108"/>
      <c r="B211" s="505"/>
      <c r="C211" s="190"/>
      <c r="D211" s="190"/>
      <c r="E211" s="413"/>
      <c r="F211" s="60"/>
      <c r="G211" s="410"/>
      <c r="H211" s="58"/>
      <c r="I211" s="190"/>
    </row>
    <row r="212" spans="1:9">
      <c r="A212" s="108"/>
      <c r="B212" s="505" t="s">
        <v>1446</v>
      </c>
      <c r="C212" s="190">
        <v>194571</v>
      </c>
      <c r="D212" s="190"/>
      <c r="E212" s="413"/>
      <c r="F212" s="60"/>
      <c r="G212" s="409"/>
      <c r="H212" s="190"/>
      <c r="I212" s="190"/>
    </row>
    <row r="213" spans="1:9">
      <c r="A213" s="60"/>
      <c r="B213" s="505"/>
      <c r="C213" s="190"/>
      <c r="D213" s="190"/>
      <c r="E213" s="413"/>
      <c r="F213" s="60"/>
      <c r="G213" s="505" t="s">
        <v>872</v>
      </c>
      <c r="H213" s="186" t="s">
        <v>242</v>
      </c>
      <c r="I213" s="186" t="s">
        <v>242</v>
      </c>
    </row>
    <row r="214" spans="1:9">
      <c r="A214" s="409" t="s">
        <v>1080</v>
      </c>
      <c r="B214" s="505"/>
      <c r="C214" s="190"/>
      <c r="D214" s="190"/>
      <c r="E214" s="413"/>
      <c r="F214" s="60"/>
      <c r="G214" s="505" t="s">
        <v>871</v>
      </c>
      <c r="H214" s="186" t="s">
        <v>242</v>
      </c>
      <c r="I214" s="186" t="s">
        <v>242</v>
      </c>
    </row>
    <row r="215" spans="1:9">
      <c r="A215" s="409"/>
      <c r="B215" s="265" t="s">
        <v>338</v>
      </c>
      <c r="C215" s="190"/>
      <c r="D215" s="190"/>
      <c r="E215" s="413"/>
      <c r="F215" s="60"/>
      <c r="G215" s="505" t="s">
        <v>870</v>
      </c>
      <c r="H215" s="186" t="s">
        <v>242</v>
      </c>
      <c r="I215" s="186" t="s">
        <v>242</v>
      </c>
    </row>
    <row r="216" spans="1:9">
      <c r="A216" s="60"/>
      <c r="B216" s="505"/>
      <c r="C216" s="190"/>
      <c r="D216" s="190"/>
      <c r="E216" s="413"/>
      <c r="F216" s="58"/>
      <c r="G216" s="505" t="s">
        <v>869</v>
      </c>
      <c r="H216" s="186" t="s">
        <v>242</v>
      </c>
      <c r="I216" s="190">
        <v>15000</v>
      </c>
    </row>
    <row r="217" spans="1:9">
      <c r="A217" s="60"/>
      <c r="B217" s="505" t="s">
        <v>967</v>
      </c>
      <c r="C217" s="186" t="s">
        <v>242</v>
      </c>
      <c r="D217" s="186" t="s">
        <v>242</v>
      </c>
      <c r="E217" s="413"/>
      <c r="F217" s="58"/>
      <c r="G217" s="505" t="s">
        <v>868</v>
      </c>
      <c r="H217" s="186" t="s">
        <v>242</v>
      </c>
      <c r="I217" s="186" t="s">
        <v>242</v>
      </c>
    </row>
    <row r="218" spans="1:9">
      <c r="A218" s="108"/>
      <c r="B218" s="505" t="s">
        <v>968</v>
      </c>
      <c r="C218" s="186" t="s">
        <v>242</v>
      </c>
      <c r="D218" s="190">
        <v>15000</v>
      </c>
      <c r="E218" s="413"/>
      <c r="F218" s="58"/>
      <c r="G218" s="505" t="s">
        <v>867</v>
      </c>
      <c r="H218" s="186" t="s">
        <v>242</v>
      </c>
      <c r="I218" s="186" t="s">
        <v>242</v>
      </c>
    </row>
    <row r="219" spans="1:9">
      <c r="A219" s="60"/>
      <c r="B219" s="505" t="s">
        <v>969</v>
      </c>
      <c r="C219" s="186" t="s">
        <v>242</v>
      </c>
      <c r="D219" s="186" t="s">
        <v>242</v>
      </c>
      <c r="E219" s="413"/>
      <c r="F219" s="58"/>
      <c r="G219" s="505" t="s">
        <v>866</v>
      </c>
      <c r="H219" s="186" t="s">
        <v>242</v>
      </c>
      <c r="I219" s="186" t="s">
        <v>242</v>
      </c>
    </row>
    <row r="220" spans="1:9">
      <c r="A220" s="108"/>
      <c r="B220" s="108" t="s">
        <v>990</v>
      </c>
      <c r="C220" s="186" t="s">
        <v>242</v>
      </c>
      <c r="D220" s="186" t="s">
        <v>242</v>
      </c>
      <c r="E220" s="413"/>
      <c r="F220" s="58"/>
      <c r="G220" s="505" t="s">
        <v>865</v>
      </c>
      <c r="H220" s="190">
        <v>78755</v>
      </c>
      <c r="I220" s="190">
        <v>15025</v>
      </c>
    </row>
    <row r="221" spans="1:9">
      <c r="A221" s="108"/>
      <c r="B221" s="108" t="s">
        <v>982</v>
      </c>
      <c r="C221" s="186" t="s">
        <v>242</v>
      </c>
      <c r="D221" s="186" t="s">
        <v>242</v>
      </c>
      <c r="E221" s="413"/>
      <c r="F221" s="58"/>
      <c r="G221" s="505" t="s">
        <v>977</v>
      </c>
      <c r="H221" s="190">
        <v>589</v>
      </c>
      <c r="I221" s="190">
        <v>544</v>
      </c>
    </row>
    <row r="222" spans="1:9">
      <c r="A222" s="108"/>
      <c r="B222" s="108" t="s">
        <v>730</v>
      </c>
      <c r="C222" s="186" t="s">
        <v>242</v>
      </c>
      <c r="D222" s="186" t="s">
        <v>242</v>
      </c>
      <c r="E222" s="413"/>
      <c r="F222" s="58"/>
      <c r="G222" s="265"/>
      <c r="H222" s="190"/>
      <c r="I222" s="190"/>
    </row>
    <row r="223" spans="1:9" s="62" customFormat="1">
      <c r="A223" s="108"/>
      <c r="B223" s="108" t="s">
        <v>970</v>
      </c>
      <c r="C223" s="186" t="s">
        <v>242</v>
      </c>
      <c r="D223" s="190">
        <v>30000</v>
      </c>
      <c r="E223" s="413"/>
      <c r="F223" s="58"/>
      <c r="G223" s="409" t="s">
        <v>76</v>
      </c>
      <c r="H223" s="451"/>
      <c r="I223" s="190"/>
    </row>
    <row r="224" spans="1:9">
      <c r="A224" s="108"/>
      <c r="B224" s="108" t="s">
        <v>971</v>
      </c>
      <c r="C224" s="186" t="s">
        <v>242</v>
      </c>
      <c r="D224" s="186" t="s">
        <v>242</v>
      </c>
      <c r="E224" s="413"/>
      <c r="F224" s="58"/>
      <c r="G224" s="505" t="s">
        <v>873</v>
      </c>
      <c r="H224" s="186" t="s">
        <v>242</v>
      </c>
      <c r="I224" s="190">
        <v>250</v>
      </c>
    </row>
    <row r="225" spans="1:9">
      <c r="A225" s="108"/>
      <c r="B225" s="108" t="s">
        <v>972</v>
      </c>
      <c r="C225" s="186" t="s">
        <v>242</v>
      </c>
      <c r="D225" s="190">
        <v>84000</v>
      </c>
      <c r="E225" s="413"/>
      <c r="F225" s="58"/>
      <c r="G225" s="505" t="s">
        <v>874</v>
      </c>
      <c r="H225" s="186" t="s">
        <v>242</v>
      </c>
      <c r="I225" s="186" t="s">
        <v>242</v>
      </c>
    </row>
    <row r="226" spans="1:9">
      <c r="A226" s="108"/>
      <c r="B226" s="108" t="s">
        <v>729</v>
      </c>
      <c r="C226" s="190">
        <v>431500</v>
      </c>
      <c r="D226" s="190">
        <v>735624</v>
      </c>
      <c r="E226" s="413"/>
      <c r="F226" s="58"/>
      <c r="G226" s="505"/>
      <c r="H226" s="190"/>
      <c r="I226" s="190"/>
    </row>
    <row r="227" spans="1:9">
      <c r="A227" s="108"/>
      <c r="B227" s="505" t="s">
        <v>973</v>
      </c>
      <c r="C227" s="186" t="s">
        <v>242</v>
      </c>
      <c r="D227" s="186" t="s">
        <v>242</v>
      </c>
      <c r="E227" s="413"/>
      <c r="F227" s="405"/>
      <c r="G227" s="391"/>
      <c r="H227" s="58"/>
      <c r="I227" s="441"/>
    </row>
    <row r="228" spans="1:9">
      <c r="A228" s="108"/>
      <c r="B228" s="505" t="s">
        <v>1014</v>
      </c>
      <c r="C228" s="186" t="s">
        <v>242</v>
      </c>
      <c r="D228" s="186" t="s">
        <v>242</v>
      </c>
      <c r="E228" s="413"/>
      <c r="F228" s="60"/>
      <c r="G228" s="284"/>
      <c r="H228" s="58"/>
      <c r="I228" s="190"/>
    </row>
    <row r="229" spans="1:9" ht="16.2" thickBot="1">
      <c r="A229" s="262"/>
      <c r="B229" s="287" t="s">
        <v>1095</v>
      </c>
      <c r="C229" s="61">
        <v>182108</v>
      </c>
      <c r="D229" s="439">
        <v>59990</v>
      </c>
      <c r="E229" s="413"/>
      <c r="F229" s="403"/>
      <c r="G229" s="287"/>
      <c r="H229" s="61"/>
      <c r="I229" s="439"/>
    </row>
    <row r="230" spans="1:9">
      <c r="A230" s="57"/>
      <c r="B230" s="57"/>
      <c r="E230" s="54"/>
      <c r="F230" s="617" t="s">
        <v>992</v>
      </c>
      <c r="G230" s="617"/>
      <c r="H230" s="617"/>
      <c r="I230" s="617"/>
    </row>
    <row r="231" spans="1:9" ht="16.2" thickBot="1">
      <c r="A231" s="57"/>
      <c r="B231" s="57"/>
      <c r="E231" s="54"/>
      <c r="F231" s="618" t="s">
        <v>1022</v>
      </c>
      <c r="G231" s="618"/>
      <c r="H231" s="618"/>
      <c r="I231" s="618"/>
    </row>
    <row r="232" spans="1:9">
      <c r="A232" s="420" t="s">
        <v>696</v>
      </c>
      <c r="B232" s="461"/>
      <c r="C232" s="194">
        <f>3389198-40000</f>
        <v>3349198</v>
      </c>
      <c r="D232" s="352">
        <v>4188697</v>
      </c>
      <c r="E232" s="413"/>
      <c r="F232" s="411" t="s">
        <v>65</v>
      </c>
      <c r="G232" s="458" t="s">
        <v>1</v>
      </c>
      <c r="H232" s="194"/>
      <c r="I232" s="352"/>
    </row>
    <row r="233" spans="1:9">
      <c r="A233" s="414"/>
      <c r="B233" s="313"/>
      <c r="C233" s="58"/>
      <c r="D233" s="190"/>
      <c r="E233" s="413"/>
      <c r="F233" s="195"/>
      <c r="G233" s="410"/>
      <c r="H233" s="58"/>
      <c r="I233" s="190"/>
    </row>
    <row r="234" spans="1:9">
      <c r="A234" s="60"/>
      <c r="B234" s="313" t="s">
        <v>675</v>
      </c>
      <c r="C234" s="58"/>
      <c r="D234" s="190"/>
      <c r="E234" s="413"/>
      <c r="F234" s="60"/>
      <c r="G234" s="410" t="s">
        <v>55</v>
      </c>
      <c r="H234" s="58"/>
      <c r="I234" s="190"/>
    </row>
    <row r="235" spans="1:9">
      <c r="A235" s="108"/>
      <c r="B235" s="505" t="s">
        <v>727</v>
      </c>
      <c r="C235" s="186" t="s">
        <v>242</v>
      </c>
      <c r="D235" s="186" t="s">
        <v>242</v>
      </c>
      <c r="E235" s="413"/>
      <c r="F235" s="60"/>
      <c r="G235" s="284" t="s">
        <v>875</v>
      </c>
      <c r="H235" s="58">
        <v>3900</v>
      </c>
      <c r="I235" s="190">
        <f>288650+85800</f>
        <v>374450</v>
      </c>
    </row>
    <row r="236" spans="1:9">
      <c r="A236" s="108"/>
      <c r="B236" s="505" t="s">
        <v>728</v>
      </c>
      <c r="C236" s="186" t="s">
        <v>242</v>
      </c>
      <c r="D236" s="186" t="s">
        <v>242</v>
      </c>
      <c r="E236" s="413"/>
      <c r="F236" s="60"/>
      <c r="G236" s="284" t="s">
        <v>876</v>
      </c>
      <c r="H236" s="58">
        <v>12195</v>
      </c>
      <c r="I236" s="190">
        <v>299235</v>
      </c>
    </row>
    <row r="237" spans="1:9">
      <c r="A237" s="108"/>
      <c r="B237" s="505" t="s">
        <v>681</v>
      </c>
      <c r="C237" s="186" t="s">
        <v>242</v>
      </c>
      <c r="D237" s="186" t="s">
        <v>242</v>
      </c>
      <c r="E237" s="413"/>
      <c r="F237" s="60"/>
      <c r="G237" s="284" t="s">
        <v>877</v>
      </c>
      <c r="H237" s="58">
        <v>174605</v>
      </c>
      <c r="I237" s="190">
        <v>705470</v>
      </c>
    </row>
    <row r="238" spans="1:9">
      <c r="A238" s="108"/>
      <c r="B238" s="505" t="s">
        <v>725</v>
      </c>
      <c r="C238" s="186" t="s">
        <v>242</v>
      </c>
      <c r="D238" s="186" t="s">
        <v>242</v>
      </c>
      <c r="E238" s="413"/>
      <c r="F238" s="58"/>
      <c r="G238" s="284"/>
      <c r="H238" s="58"/>
      <c r="I238" s="190"/>
    </row>
    <row r="239" spans="1:9">
      <c r="A239" s="108"/>
      <c r="B239" s="505" t="s">
        <v>1248</v>
      </c>
      <c r="C239" s="186" t="s">
        <v>242</v>
      </c>
      <c r="D239" s="186" t="s">
        <v>242</v>
      </c>
      <c r="E239" s="413"/>
      <c r="F239" s="58"/>
      <c r="G239" s="410" t="s">
        <v>77</v>
      </c>
      <c r="H239" s="58"/>
      <c r="I239" s="190"/>
    </row>
    <row r="240" spans="1:9">
      <c r="A240" s="108"/>
      <c r="B240" s="505" t="s">
        <v>726</v>
      </c>
      <c r="C240" s="186" t="s">
        <v>242</v>
      </c>
      <c r="D240" s="186" t="s">
        <v>242</v>
      </c>
      <c r="E240" s="413"/>
      <c r="F240" s="58"/>
      <c r="G240" s="284" t="s">
        <v>878</v>
      </c>
      <c r="H240" s="58">
        <v>647275</v>
      </c>
      <c r="I240" s="190">
        <v>2852000</v>
      </c>
    </row>
    <row r="241" spans="1:9">
      <c r="A241" s="108"/>
      <c r="B241" s="505" t="s">
        <v>1249</v>
      </c>
      <c r="C241" s="186" t="s">
        <v>242</v>
      </c>
      <c r="D241" s="186" t="s">
        <v>242</v>
      </c>
      <c r="E241" s="413"/>
      <c r="F241" s="58"/>
      <c r="G241" s="284"/>
      <c r="H241" s="58"/>
      <c r="I241" s="190"/>
    </row>
    <row r="242" spans="1:9">
      <c r="A242" s="108"/>
      <c r="B242" s="505"/>
      <c r="C242" s="190"/>
      <c r="D242" s="190"/>
      <c r="E242" s="413"/>
      <c r="F242" s="58"/>
      <c r="G242" s="410" t="s">
        <v>78</v>
      </c>
      <c r="H242" s="58"/>
      <c r="I242" s="190"/>
    </row>
    <row r="243" spans="1:9">
      <c r="A243" s="60"/>
      <c r="B243" s="409" t="s">
        <v>536</v>
      </c>
      <c r="C243" s="190"/>
      <c r="D243" s="190"/>
      <c r="E243" s="413"/>
      <c r="F243" s="60"/>
      <c r="G243" s="284" t="s">
        <v>879</v>
      </c>
      <c r="H243" s="58">
        <v>4000</v>
      </c>
      <c r="I243" s="186" t="s">
        <v>242</v>
      </c>
    </row>
    <row r="244" spans="1:9">
      <c r="A244" s="60"/>
      <c r="B244" s="505" t="s">
        <v>1456</v>
      </c>
      <c r="C244" s="190">
        <v>6400</v>
      </c>
      <c r="D244" s="186" t="s">
        <v>242</v>
      </c>
      <c r="E244" s="413"/>
      <c r="F244" s="60"/>
      <c r="G244" s="284" t="s">
        <v>880</v>
      </c>
      <c r="H244" s="58">
        <v>324360</v>
      </c>
      <c r="I244" s="190">
        <v>299000</v>
      </c>
    </row>
    <row r="245" spans="1:9">
      <c r="A245" s="60"/>
      <c r="B245" s="505"/>
      <c r="C245" s="190"/>
      <c r="D245" s="190"/>
      <c r="E245" s="413"/>
      <c r="F245" s="60"/>
      <c r="G245" s="284" t="s">
        <v>881</v>
      </c>
      <c r="H245" s="58"/>
      <c r="I245" s="186" t="s">
        <v>242</v>
      </c>
    </row>
    <row r="246" spans="1:9">
      <c r="A246" s="60"/>
      <c r="B246" s="409" t="s">
        <v>1076</v>
      </c>
      <c r="C246" s="186" t="s">
        <v>242</v>
      </c>
      <c r="D246" s="190">
        <v>20312</v>
      </c>
      <c r="E246" s="413"/>
      <c r="F246" s="60"/>
      <c r="G246" s="505" t="s">
        <v>882</v>
      </c>
      <c r="H246" s="186" t="s">
        <v>242</v>
      </c>
      <c r="I246" s="190">
        <v>67350</v>
      </c>
    </row>
    <row r="247" spans="1:9">
      <c r="A247" s="108"/>
      <c r="B247" s="505"/>
      <c r="C247" s="190"/>
      <c r="D247" s="190"/>
      <c r="E247" s="413"/>
      <c r="F247" s="60"/>
      <c r="G247" s="505"/>
      <c r="H247" s="190"/>
      <c r="I247" s="190"/>
    </row>
    <row r="248" spans="1:9">
      <c r="A248" s="108"/>
      <c r="B248" s="313"/>
      <c r="C248" s="58"/>
      <c r="D248" s="190"/>
      <c r="E248" s="413"/>
      <c r="F248" s="409" t="s">
        <v>697</v>
      </c>
      <c r="G248" s="505"/>
      <c r="H248" s="190">
        <v>4292305</v>
      </c>
      <c r="I248" s="190">
        <v>3512382</v>
      </c>
    </row>
    <row r="249" spans="1:9">
      <c r="A249" s="108"/>
      <c r="B249" s="313"/>
      <c r="C249" s="58"/>
      <c r="D249" s="190"/>
      <c r="E249" s="413"/>
      <c r="F249" s="60"/>
      <c r="G249" s="505"/>
      <c r="H249" s="190"/>
      <c r="I249" s="190"/>
    </row>
    <row r="250" spans="1:9">
      <c r="A250" s="108"/>
      <c r="B250" s="313"/>
      <c r="C250" s="58"/>
      <c r="D250" s="190"/>
      <c r="E250" s="413"/>
      <c r="F250" s="409" t="s">
        <v>1081</v>
      </c>
      <c r="G250" s="108"/>
      <c r="H250" s="190"/>
      <c r="I250" s="190"/>
    </row>
    <row r="251" spans="1:9">
      <c r="A251" s="108"/>
      <c r="B251" s="278"/>
      <c r="C251" s="58"/>
      <c r="D251" s="190"/>
      <c r="E251" s="413"/>
      <c r="F251" s="58"/>
      <c r="G251" s="265" t="s">
        <v>337</v>
      </c>
      <c r="H251" s="190"/>
      <c r="I251" s="190"/>
    </row>
    <row r="252" spans="1:9">
      <c r="A252" s="60"/>
      <c r="B252" s="278"/>
      <c r="C252" s="58"/>
      <c r="D252" s="190"/>
      <c r="E252" s="413"/>
      <c r="F252" s="58"/>
      <c r="G252" s="505" t="s">
        <v>887</v>
      </c>
      <c r="H252" s="190">
        <v>1815222</v>
      </c>
      <c r="I252" s="190">
        <f>3174489+1</f>
        <v>3174490</v>
      </c>
    </row>
    <row r="253" spans="1:9">
      <c r="A253" s="60"/>
      <c r="B253" s="278"/>
      <c r="C253" s="58"/>
      <c r="D253" s="190"/>
      <c r="E253" s="413"/>
      <c r="F253" s="58"/>
      <c r="G253" s="505" t="s">
        <v>888</v>
      </c>
      <c r="H253" s="186" t="s">
        <v>242</v>
      </c>
      <c r="I253" s="186" t="s">
        <v>242</v>
      </c>
    </row>
    <row r="254" spans="1:9">
      <c r="A254" s="60"/>
      <c r="B254" s="278"/>
      <c r="C254" s="58"/>
      <c r="D254" s="190"/>
      <c r="E254" s="413"/>
      <c r="F254" s="58"/>
      <c r="G254" s="505" t="s">
        <v>886</v>
      </c>
      <c r="H254" s="186" t="s">
        <v>242</v>
      </c>
      <c r="I254" s="186" t="s">
        <v>242</v>
      </c>
    </row>
    <row r="255" spans="1:9">
      <c r="A255" s="108"/>
      <c r="B255" s="278"/>
      <c r="C255" s="58"/>
      <c r="D255" s="190"/>
      <c r="E255" s="413"/>
      <c r="F255" s="58"/>
      <c r="G255" s="284" t="s">
        <v>885</v>
      </c>
      <c r="H255" s="58">
        <v>23583</v>
      </c>
      <c r="I255" s="190">
        <v>275473</v>
      </c>
    </row>
    <row r="256" spans="1:9">
      <c r="A256" s="108"/>
      <c r="B256" s="313"/>
      <c r="C256" s="58"/>
      <c r="D256" s="190"/>
      <c r="E256" s="413"/>
      <c r="F256" s="58"/>
      <c r="G256" s="505" t="s">
        <v>884</v>
      </c>
      <c r="H256" s="190">
        <v>109100</v>
      </c>
      <c r="I256" s="190">
        <v>84000</v>
      </c>
    </row>
    <row r="257" spans="1:9">
      <c r="A257" s="108"/>
      <c r="B257" s="313"/>
      <c r="C257" s="58"/>
      <c r="D257" s="190"/>
      <c r="E257" s="413"/>
      <c r="F257" s="58"/>
      <c r="G257" s="505" t="s">
        <v>883</v>
      </c>
      <c r="H257" s="186" t="s">
        <v>242</v>
      </c>
      <c r="I257" s="190">
        <v>47509</v>
      </c>
    </row>
    <row r="258" spans="1:9">
      <c r="A258" s="60"/>
      <c r="B258" s="313"/>
      <c r="C258" s="58"/>
      <c r="D258" s="190"/>
      <c r="E258" s="413"/>
      <c r="F258" s="60"/>
      <c r="G258" s="505" t="s">
        <v>1250</v>
      </c>
      <c r="H258" s="190">
        <v>4229065</v>
      </c>
      <c r="I258" s="190">
        <v>12354047</v>
      </c>
    </row>
    <row r="259" spans="1:9">
      <c r="A259" s="60"/>
      <c r="B259" s="313"/>
      <c r="C259" s="58"/>
      <c r="D259" s="190"/>
      <c r="E259" s="413"/>
      <c r="F259" s="60"/>
      <c r="G259" s="505" t="s">
        <v>1251</v>
      </c>
      <c r="H259" s="190">
        <v>7054</v>
      </c>
      <c r="I259" s="190">
        <v>56146</v>
      </c>
    </row>
    <row r="260" spans="1:9">
      <c r="A260" s="60"/>
      <c r="B260" s="313"/>
      <c r="C260" s="58"/>
      <c r="D260" s="190"/>
      <c r="E260" s="413"/>
      <c r="F260" s="60"/>
      <c r="G260" s="108" t="s">
        <v>1252</v>
      </c>
      <c r="H260" s="186" t="s">
        <v>242</v>
      </c>
      <c r="I260" s="186" t="s">
        <v>242</v>
      </c>
    </row>
    <row r="261" spans="1:9">
      <c r="A261" s="60"/>
      <c r="B261" s="313"/>
      <c r="C261" s="58"/>
      <c r="D261" s="190"/>
      <c r="E261" s="413"/>
      <c r="F261" s="60"/>
      <c r="G261" s="108" t="s">
        <v>1253</v>
      </c>
      <c r="H261" s="186" t="s">
        <v>242</v>
      </c>
      <c r="I261" s="186" t="s">
        <v>242</v>
      </c>
    </row>
    <row r="262" spans="1:9">
      <c r="A262" s="60"/>
      <c r="B262" s="313"/>
      <c r="C262" s="58"/>
      <c r="D262" s="190"/>
      <c r="E262" s="413"/>
      <c r="F262" s="60"/>
      <c r="G262" s="108" t="s">
        <v>1254</v>
      </c>
      <c r="H262" s="190"/>
      <c r="I262" s="190"/>
    </row>
    <row r="263" spans="1:9">
      <c r="A263" s="60"/>
      <c r="B263" s="313"/>
      <c r="C263" s="58"/>
      <c r="D263" s="190"/>
      <c r="E263" s="413"/>
      <c r="F263" s="60"/>
      <c r="G263" s="108" t="s">
        <v>1255</v>
      </c>
      <c r="H263" s="190">
        <v>1467930</v>
      </c>
      <c r="I263" s="190">
        <v>670928</v>
      </c>
    </row>
    <row r="264" spans="1:9">
      <c r="A264" s="60"/>
      <c r="B264" s="313"/>
      <c r="C264" s="58"/>
      <c r="D264" s="190"/>
      <c r="E264" s="413"/>
      <c r="F264" s="60"/>
      <c r="G264" s="108" t="s">
        <v>1256</v>
      </c>
      <c r="H264" s="190">
        <v>938051</v>
      </c>
      <c r="I264" s="190">
        <f>45000+1859029</f>
        <v>1904029</v>
      </c>
    </row>
    <row r="265" spans="1:9">
      <c r="A265" s="60"/>
      <c r="B265" s="313"/>
      <c r="C265" s="58"/>
      <c r="D265" s="190"/>
      <c r="E265" s="413"/>
      <c r="F265" s="60"/>
      <c r="G265" s="108" t="s">
        <v>1257</v>
      </c>
      <c r="H265" s="186" t="s">
        <v>242</v>
      </c>
      <c r="I265" s="190">
        <v>1655</v>
      </c>
    </row>
    <row r="266" spans="1:9">
      <c r="A266" s="60"/>
      <c r="B266" s="313"/>
      <c r="C266" s="58"/>
      <c r="D266" s="190"/>
      <c r="E266" s="413"/>
      <c r="F266" s="60"/>
      <c r="G266" s="108" t="s">
        <v>1258</v>
      </c>
      <c r="H266" s="186" t="s">
        <v>242</v>
      </c>
      <c r="I266" s="190">
        <f>3033007+365373</f>
        <v>3398380</v>
      </c>
    </row>
    <row r="267" spans="1:9">
      <c r="A267" s="60"/>
      <c r="B267" s="313"/>
      <c r="C267" s="58"/>
      <c r="D267" s="190"/>
      <c r="E267" s="413"/>
      <c r="F267" s="60"/>
      <c r="G267" s="108" t="s">
        <v>1259</v>
      </c>
      <c r="H267" s="190">
        <v>4079512</v>
      </c>
      <c r="I267" s="190">
        <v>2640</v>
      </c>
    </row>
    <row r="268" spans="1:9">
      <c r="A268" s="60"/>
      <c r="B268" s="313"/>
      <c r="C268" s="58"/>
      <c r="D268" s="190"/>
      <c r="E268" s="413"/>
      <c r="F268" s="60"/>
      <c r="G268" s="108" t="s">
        <v>1260</v>
      </c>
      <c r="H268" s="190">
        <v>2513527</v>
      </c>
      <c r="I268" s="190">
        <v>33067</v>
      </c>
    </row>
    <row r="269" spans="1:9">
      <c r="A269" s="60"/>
      <c r="B269" s="313"/>
      <c r="C269" s="58"/>
      <c r="D269" s="190"/>
      <c r="E269" s="407"/>
      <c r="F269" s="60"/>
      <c r="G269" s="108" t="s">
        <v>1261</v>
      </c>
      <c r="H269" s="190">
        <v>204156</v>
      </c>
      <c r="I269" s="190">
        <v>46546</v>
      </c>
    </row>
    <row r="270" spans="1:9">
      <c r="A270" s="60"/>
      <c r="B270" s="313"/>
      <c r="C270" s="58"/>
      <c r="D270" s="190"/>
      <c r="E270" s="407"/>
      <c r="F270" s="60"/>
      <c r="G270" s="108" t="s">
        <v>1262</v>
      </c>
      <c r="H270" s="190">
        <v>1950420</v>
      </c>
      <c r="I270" s="190">
        <v>1671796</v>
      </c>
    </row>
    <row r="271" spans="1:9">
      <c r="A271" s="60"/>
      <c r="B271" s="313"/>
      <c r="C271" s="58"/>
      <c r="D271" s="190"/>
      <c r="E271" s="407"/>
      <c r="F271" s="60"/>
      <c r="G271" s="108" t="s">
        <v>1439</v>
      </c>
      <c r="H271" s="190">
        <v>3330</v>
      </c>
      <c r="I271" s="186" t="s">
        <v>242</v>
      </c>
    </row>
    <row r="272" spans="1:9">
      <c r="A272" s="60"/>
      <c r="B272" s="313"/>
      <c r="C272" s="58"/>
      <c r="D272" s="190"/>
      <c r="E272" s="407"/>
      <c r="F272" s="60"/>
      <c r="G272" s="108"/>
      <c r="H272" s="190"/>
      <c r="I272" s="190"/>
    </row>
    <row r="273" spans="1:9">
      <c r="A273" s="60"/>
      <c r="B273" s="313"/>
      <c r="C273" s="58"/>
      <c r="D273" s="190"/>
      <c r="E273" s="407"/>
      <c r="F273" s="60"/>
      <c r="G273" s="265" t="s">
        <v>338</v>
      </c>
      <c r="H273" s="190"/>
      <c r="I273" s="190"/>
    </row>
    <row r="274" spans="1:9">
      <c r="A274" s="60"/>
      <c r="B274" s="313"/>
      <c r="C274" s="58"/>
      <c r="D274" s="190"/>
      <c r="E274" s="407"/>
      <c r="F274" s="60"/>
      <c r="G274" s="505" t="s">
        <v>897</v>
      </c>
      <c r="H274" s="186" t="s">
        <v>242</v>
      </c>
      <c r="I274" s="186" t="s">
        <v>242</v>
      </c>
    </row>
    <row r="275" spans="1:9">
      <c r="A275" s="60"/>
      <c r="B275" s="313"/>
      <c r="C275" s="58"/>
      <c r="D275" s="190"/>
      <c r="E275" s="407"/>
      <c r="F275" s="60"/>
      <c r="G275" s="284" t="s">
        <v>896</v>
      </c>
      <c r="H275" s="58">
        <v>15000</v>
      </c>
      <c r="I275" s="190">
        <v>84000</v>
      </c>
    </row>
    <row r="276" spans="1:9">
      <c r="A276" s="60"/>
      <c r="B276" s="313"/>
      <c r="C276" s="58"/>
      <c r="D276" s="190"/>
      <c r="E276" s="407"/>
      <c r="F276" s="60"/>
      <c r="G276" s="505" t="s">
        <v>895</v>
      </c>
      <c r="H276" s="186" t="s">
        <v>242</v>
      </c>
      <c r="I276" s="186" t="s">
        <v>242</v>
      </c>
    </row>
    <row r="277" spans="1:9">
      <c r="A277" s="60"/>
      <c r="B277" s="313"/>
      <c r="C277" s="58"/>
      <c r="D277" s="190"/>
      <c r="E277" s="407"/>
      <c r="F277" s="60"/>
      <c r="G277" s="505" t="s">
        <v>894</v>
      </c>
      <c r="H277" s="186" t="s">
        <v>242</v>
      </c>
      <c r="I277" s="186" t="s">
        <v>242</v>
      </c>
    </row>
    <row r="278" spans="1:9">
      <c r="A278" s="60"/>
      <c r="B278" s="313"/>
      <c r="C278" s="58"/>
      <c r="D278" s="190"/>
      <c r="E278" s="407"/>
      <c r="F278" s="58"/>
      <c r="G278" s="505" t="s">
        <v>893</v>
      </c>
      <c r="H278" s="186" t="s">
        <v>242</v>
      </c>
      <c r="I278" s="186" t="s">
        <v>242</v>
      </c>
    </row>
    <row r="279" spans="1:9">
      <c r="A279" s="60"/>
      <c r="B279" s="313"/>
      <c r="C279" s="58"/>
      <c r="D279" s="190"/>
      <c r="E279" s="407"/>
      <c r="F279" s="58"/>
      <c r="G279" s="505" t="s">
        <v>1069</v>
      </c>
      <c r="H279" s="186" t="s">
        <v>242</v>
      </c>
      <c r="I279" s="190">
        <v>55000</v>
      </c>
    </row>
    <row r="280" spans="1:9">
      <c r="A280" s="60"/>
      <c r="B280" s="313"/>
      <c r="C280" s="58"/>
      <c r="D280" s="190"/>
      <c r="E280" s="407"/>
      <c r="F280" s="58"/>
      <c r="G280" s="505" t="s">
        <v>892</v>
      </c>
      <c r="H280" s="186" t="s">
        <v>242</v>
      </c>
      <c r="I280" s="186" t="s">
        <v>242</v>
      </c>
    </row>
    <row r="281" spans="1:9">
      <c r="A281" s="60"/>
      <c r="B281" s="313"/>
      <c r="C281" s="58"/>
      <c r="D281" s="190"/>
      <c r="E281" s="407"/>
      <c r="F281" s="58"/>
      <c r="G281" s="505" t="s">
        <v>889</v>
      </c>
      <c r="H281" s="190"/>
      <c r="I281" s="186" t="s">
        <v>242</v>
      </c>
    </row>
    <row r="282" spans="1:9">
      <c r="A282" s="60"/>
      <c r="B282" s="313"/>
      <c r="C282" s="58"/>
      <c r="D282" s="190"/>
      <c r="E282" s="407"/>
      <c r="F282" s="58"/>
      <c r="G282" s="505" t="s">
        <v>890</v>
      </c>
      <c r="H282" s="190"/>
      <c r="I282" s="186" t="s">
        <v>242</v>
      </c>
    </row>
    <row r="283" spans="1:9">
      <c r="A283" s="60"/>
      <c r="B283" s="313"/>
      <c r="C283" s="58"/>
      <c r="D283" s="190"/>
      <c r="E283" s="407"/>
      <c r="F283" s="58"/>
      <c r="G283" s="505" t="s">
        <v>891</v>
      </c>
      <c r="H283" s="190">
        <v>510000</v>
      </c>
      <c r="I283" s="190">
        <v>732124</v>
      </c>
    </row>
    <row r="284" spans="1:9">
      <c r="A284" s="60"/>
      <c r="B284" s="313"/>
      <c r="C284" s="58"/>
      <c r="D284" s="190"/>
      <c r="E284" s="407"/>
      <c r="F284" s="58"/>
      <c r="G284" s="505" t="s">
        <v>983</v>
      </c>
      <c r="H284" s="186" t="s">
        <v>242</v>
      </c>
      <c r="I284" s="186" t="s">
        <v>242</v>
      </c>
    </row>
    <row r="285" spans="1:9">
      <c r="A285" s="60"/>
      <c r="B285" s="313"/>
      <c r="C285" s="58"/>
      <c r="D285" s="190"/>
      <c r="E285" s="407"/>
      <c r="F285" s="58"/>
      <c r="G285" s="505" t="s">
        <v>1442</v>
      </c>
      <c r="H285" s="190">
        <v>162220</v>
      </c>
      <c r="I285" s="186" t="s">
        <v>242</v>
      </c>
    </row>
    <row r="286" spans="1:9">
      <c r="A286" s="60"/>
      <c r="B286" s="313"/>
      <c r="C286" s="58"/>
      <c r="D286" s="190"/>
      <c r="E286" s="407"/>
      <c r="F286" s="58"/>
      <c r="G286" s="505" t="s">
        <v>1443</v>
      </c>
      <c r="H286" s="190">
        <v>42000</v>
      </c>
      <c r="I286" s="186" t="s">
        <v>242</v>
      </c>
    </row>
    <row r="287" spans="1:9">
      <c r="A287" s="472"/>
      <c r="B287" s="473"/>
      <c r="C287" s="63"/>
      <c r="D287" s="444"/>
      <c r="E287" s="407"/>
      <c r="F287" s="63"/>
      <c r="G287" s="505" t="s">
        <v>1094</v>
      </c>
      <c r="H287" s="190">
        <v>170608</v>
      </c>
      <c r="I287" s="449">
        <v>139990</v>
      </c>
    </row>
    <row r="288" spans="1:9">
      <c r="A288" s="472"/>
      <c r="B288" s="473"/>
      <c r="C288" s="63"/>
      <c r="D288" s="444"/>
      <c r="E288" s="407"/>
      <c r="F288" s="63"/>
      <c r="G288" s="350" t="s">
        <v>1440</v>
      </c>
      <c r="H288" s="63">
        <v>155000</v>
      </c>
      <c r="I288" s="186" t="s">
        <v>242</v>
      </c>
    </row>
    <row r="289" spans="1:9" ht="16.2" thickBot="1">
      <c r="A289" s="403"/>
      <c r="B289" s="314"/>
      <c r="C289" s="61"/>
      <c r="D289" s="439"/>
      <c r="E289" s="407"/>
      <c r="F289" s="421"/>
      <c r="G289" s="287"/>
      <c r="H289" s="61"/>
      <c r="I289" s="439"/>
    </row>
    <row r="290" spans="1:9">
      <c r="A290" s="495"/>
      <c r="F290" s="617" t="s">
        <v>994</v>
      </c>
      <c r="G290" s="617"/>
      <c r="H290" s="617"/>
      <c r="I290" s="617"/>
    </row>
    <row r="291" spans="1:9" ht="16.2" thickBot="1">
      <c r="A291" s="495"/>
      <c r="F291" s="618" t="s">
        <v>1023</v>
      </c>
      <c r="G291" s="618"/>
      <c r="H291" s="618"/>
      <c r="I291" s="618"/>
    </row>
    <row r="292" spans="1:9">
      <c r="A292" s="277"/>
      <c r="B292" s="450"/>
      <c r="C292" s="194"/>
      <c r="D292" s="352"/>
      <c r="E292" s="407"/>
      <c r="F292" s="415" t="s">
        <v>1385</v>
      </c>
      <c r="G292" s="458" t="s">
        <v>1386</v>
      </c>
      <c r="H292" s="194"/>
      <c r="I292" s="352"/>
    </row>
    <row r="293" spans="1:9">
      <c r="A293" s="60"/>
      <c r="B293" s="284"/>
      <c r="C293" s="58"/>
      <c r="D293" s="190"/>
      <c r="E293" s="407"/>
      <c r="F293" s="414"/>
      <c r="G293" s="410"/>
      <c r="H293" s="58"/>
      <c r="I293" s="190"/>
    </row>
    <row r="294" spans="1:9">
      <c r="A294" s="60"/>
      <c r="B294" s="284"/>
      <c r="C294" s="58"/>
      <c r="D294" s="190"/>
      <c r="E294" s="407"/>
      <c r="F294" s="60"/>
      <c r="G294" s="410" t="s">
        <v>252</v>
      </c>
      <c r="H294" s="58"/>
      <c r="I294" s="190"/>
    </row>
    <row r="295" spans="1:9">
      <c r="A295" s="60"/>
      <c r="B295" s="284"/>
      <c r="C295" s="58"/>
      <c r="D295" s="190"/>
      <c r="E295" s="407"/>
      <c r="F295" s="60"/>
      <c r="G295" s="505" t="s">
        <v>703</v>
      </c>
      <c r="H295" s="190">
        <v>259</v>
      </c>
      <c r="I295" s="190">
        <v>259</v>
      </c>
    </row>
    <row r="296" spans="1:9">
      <c r="A296" s="60"/>
      <c r="B296" s="284"/>
      <c r="C296" s="58"/>
      <c r="D296" s="190"/>
      <c r="E296" s="407"/>
      <c r="F296" s="60"/>
      <c r="G296" s="505" t="s">
        <v>701</v>
      </c>
      <c r="H296" s="190">
        <v>431</v>
      </c>
      <c r="I296" s="190">
        <v>45841</v>
      </c>
    </row>
    <row r="297" spans="1:9">
      <c r="A297" s="60"/>
      <c r="B297" s="284"/>
      <c r="C297" s="58"/>
      <c r="D297" s="190"/>
      <c r="E297" s="407"/>
      <c r="F297" s="60"/>
      <c r="G297" s="505" t="s">
        <v>369</v>
      </c>
      <c r="H297" s="190">
        <v>30000</v>
      </c>
      <c r="I297" s="190">
        <v>30000</v>
      </c>
    </row>
    <row r="298" spans="1:9">
      <c r="A298" s="60"/>
      <c r="B298" s="284"/>
      <c r="C298" s="58"/>
      <c r="D298" s="190"/>
      <c r="E298" s="407"/>
      <c r="F298" s="60"/>
      <c r="G298" s="505" t="s">
        <v>310</v>
      </c>
      <c r="H298" s="190">
        <v>1248</v>
      </c>
      <c r="I298" s="190">
        <v>0</v>
      </c>
    </row>
    <row r="299" spans="1:9">
      <c r="A299" s="60"/>
      <c r="B299" s="284"/>
      <c r="C299" s="58"/>
      <c r="D299" s="190"/>
      <c r="E299" s="407"/>
      <c r="F299" s="60"/>
      <c r="G299" s="505" t="s">
        <v>702</v>
      </c>
      <c r="H299" s="190">
        <v>11577</v>
      </c>
      <c r="I299" s="190">
        <v>0</v>
      </c>
    </row>
    <row r="300" spans="1:9">
      <c r="A300" s="60"/>
      <c r="B300" s="284"/>
      <c r="C300" s="58"/>
      <c r="D300" s="190"/>
      <c r="E300" s="407"/>
      <c r="F300" s="422"/>
      <c r="G300" s="505"/>
      <c r="H300" s="190"/>
      <c r="I300" s="190"/>
    </row>
    <row r="301" spans="1:9">
      <c r="A301" s="60"/>
      <c r="B301" s="284"/>
      <c r="C301" s="58"/>
      <c r="D301" s="190"/>
      <c r="E301" s="407"/>
      <c r="F301" s="422"/>
      <c r="G301" s="409" t="s">
        <v>479</v>
      </c>
      <c r="H301" s="190">
        <v>98000</v>
      </c>
      <c r="I301" s="190">
        <v>80500</v>
      </c>
    </row>
    <row r="302" spans="1:9">
      <c r="A302" s="60"/>
      <c r="B302" s="284"/>
      <c r="C302" s="58"/>
      <c r="D302" s="190"/>
      <c r="E302" s="407"/>
      <c r="F302" s="60"/>
      <c r="G302" s="416"/>
      <c r="H302" s="190"/>
      <c r="I302" s="459"/>
    </row>
    <row r="303" spans="1:9">
      <c r="A303" s="60"/>
      <c r="B303" s="284"/>
      <c r="C303" s="58"/>
      <c r="D303" s="190"/>
      <c r="E303" s="407"/>
      <c r="F303" s="108"/>
      <c r="G303" s="409" t="s">
        <v>4</v>
      </c>
      <c r="H303" s="190"/>
      <c r="I303" s="190"/>
    </row>
    <row r="304" spans="1:9">
      <c r="A304" s="60"/>
      <c r="B304" s="284"/>
      <c r="C304" s="58"/>
      <c r="D304" s="190"/>
      <c r="E304" s="407"/>
      <c r="F304" s="58"/>
      <c r="G304" s="505" t="s">
        <v>910</v>
      </c>
      <c r="H304" s="190">
        <v>56276995.990000002</v>
      </c>
      <c r="I304" s="190">
        <v>247010630.99000001</v>
      </c>
    </row>
    <row r="305" spans="1:10">
      <c r="A305" s="60"/>
      <c r="B305" s="284"/>
      <c r="C305" s="58"/>
      <c r="D305" s="190"/>
      <c r="E305" s="407"/>
      <c r="F305" s="60"/>
      <c r="G305" s="505" t="s">
        <v>909</v>
      </c>
      <c r="H305" s="190">
        <v>266724144</v>
      </c>
      <c r="I305" s="190">
        <f>180000000+28000000+15000000+17500000-500000</f>
        <v>240000000</v>
      </c>
    </row>
    <row r="306" spans="1:10">
      <c r="A306" s="60"/>
      <c r="B306" s="284"/>
      <c r="C306" s="58"/>
      <c r="D306" s="190"/>
      <c r="E306" s="407"/>
      <c r="F306" s="60"/>
      <c r="G306" s="505" t="s">
        <v>908</v>
      </c>
      <c r="H306" s="190">
        <v>897.37</v>
      </c>
      <c r="I306" s="190">
        <v>897.37</v>
      </c>
    </row>
    <row r="307" spans="1:10">
      <c r="A307" s="60"/>
      <c r="B307" s="284"/>
      <c r="C307" s="58"/>
      <c r="D307" s="190"/>
      <c r="E307" s="407"/>
      <c r="F307" s="60"/>
      <c r="G307" s="505" t="s">
        <v>907</v>
      </c>
      <c r="H307" s="190">
        <v>897132</v>
      </c>
      <c r="I307" s="190">
        <v>500000</v>
      </c>
      <c r="J307" s="65"/>
    </row>
    <row r="308" spans="1:10">
      <c r="A308" s="60"/>
      <c r="B308" s="113"/>
      <c r="C308" s="58"/>
      <c r="D308" s="190"/>
      <c r="E308" s="407"/>
      <c r="F308" s="60"/>
      <c r="G308" s="505" t="s">
        <v>906</v>
      </c>
      <c r="H308" s="190">
        <v>249773</v>
      </c>
      <c r="I308" s="190">
        <f>2053496-1</f>
        <v>2053495</v>
      </c>
      <c r="J308" s="65"/>
    </row>
    <row r="309" spans="1:10">
      <c r="A309" s="60"/>
      <c r="B309" s="113"/>
      <c r="C309" s="58"/>
      <c r="D309" s="190"/>
      <c r="E309" s="407"/>
      <c r="F309" s="58"/>
      <c r="G309" s="505" t="s">
        <v>905</v>
      </c>
      <c r="H309" s="190">
        <v>500000</v>
      </c>
      <c r="I309" s="190">
        <v>500000</v>
      </c>
    </row>
    <row r="310" spans="1:10">
      <c r="A310" s="60"/>
      <c r="B310" s="113"/>
      <c r="C310" s="58"/>
      <c r="D310" s="190"/>
      <c r="E310" s="407"/>
      <c r="F310" s="58"/>
      <c r="G310" s="284" t="s">
        <v>904</v>
      </c>
      <c r="H310" s="58">
        <v>1993</v>
      </c>
      <c r="I310" s="190">
        <v>228451</v>
      </c>
    </row>
    <row r="311" spans="1:10">
      <c r="A311" s="60"/>
      <c r="B311" s="113"/>
      <c r="C311" s="58"/>
      <c r="D311" s="190"/>
      <c r="E311" s="407"/>
      <c r="F311" s="60"/>
      <c r="G311" s="284" t="s">
        <v>903</v>
      </c>
      <c r="H311" s="58">
        <v>3097623</v>
      </c>
      <c r="I311" s="190">
        <v>2503257</v>
      </c>
    </row>
    <row r="312" spans="1:10">
      <c r="A312" s="60"/>
      <c r="B312" s="113"/>
      <c r="C312" s="58"/>
      <c r="D312" s="190"/>
      <c r="E312" s="407"/>
      <c r="F312" s="60"/>
      <c r="G312" s="284" t="s">
        <v>902</v>
      </c>
      <c r="H312" s="58">
        <f>573147-40000</f>
        <v>533147</v>
      </c>
      <c r="I312" s="190">
        <v>1476254</v>
      </c>
    </row>
    <row r="313" spans="1:10">
      <c r="A313" s="60"/>
      <c r="B313" s="284"/>
      <c r="C313" s="58"/>
      <c r="D313" s="190"/>
      <c r="E313" s="407"/>
      <c r="F313" s="60"/>
      <c r="G313" s="284" t="s">
        <v>901</v>
      </c>
      <c r="H313" s="80" t="s">
        <v>242</v>
      </c>
      <c r="I313" s="190">
        <v>102994</v>
      </c>
    </row>
    <row r="314" spans="1:10">
      <c r="A314" s="60"/>
      <c r="B314" s="284"/>
      <c r="C314" s="58"/>
      <c r="D314" s="190"/>
      <c r="E314" s="407"/>
      <c r="F314" s="60"/>
      <c r="G314" s="284" t="s">
        <v>980</v>
      </c>
      <c r="H314" s="58">
        <v>18790964</v>
      </c>
      <c r="I314" s="190">
        <v>14833892</v>
      </c>
    </row>
    <row r="315" spans="1:10">
      <c r="A315" s="60"/>
      <c r="B315" s="284"/>
      <c r="C315" s="58"/>
      <c r="D315" s="190"/>
      <c r="E315" s="407"/>
      <c r="F315" s="60"/>
      <c r="G315" s="284" t="s">
        <v>900</v>
      </c>
      <c r="H315" s="58">
        <v>125500</v>
      </c>
      <c r="I315" s="190">
        <v>249600</v>
      </c>
    </row>
    <row r="316" spans="1:10">
      <c r="A316" s="60"/>
      <c r="B316" s="284"/>
      <c r="C316" s="58"/>
      <c r="D316" s="190"/>
      <c r="E316" s="407"/>
      <c r="F316" s="60"/>
      <c r="G316" s="284" t="s">
        <v>899</v>
      </c>
      <c r="H316" s="58">
        <v>2571773</v>
      </c>
      <c r="I316" s="190">
        <v>1977661</v>
      </c>
    </row>
    <row r="317" spans="1:10">
      <c r="A317" s="60"/>
      <c r="B317" s="284"/>
      <c r="C317" s="58"/>
      <c r="D317" s="190"/>
      <c r="E317" s="407"/>
      <c r="F317" s="60"/>
      <c r="G317" s="284" t="s">
        <v>898</v>
      </c>
      <c r="H317" s="58">
        <v>226577</v>
      </c>
      <c r="I317" s="190">
        <v>193016</v>
      </c>
    </row>
    <row r="318" spans="1:10">
      <c r="A318" s="60"/>
      <c r="B318" s="284"/>
      <c r="C318" s="58"/>
      <c r="D318" s="190"/>
      <c r="E318" s="407"/>
      <c r="F318" s="60"/>
      <c r="G318" s="284" t="s">
        <v>1263</v>
      </c>
      <c r="H318" s="58">
        <v>8083682</v>
      </c>
      <c r="I318" s="190">
        <v>6438664</v>
      </c>
    </row>
    <row r="319" spans="1:10">
      <c r="A319" s="60"/>
      <c r="B319" s="284"/>
      <c r="C319" s="58"/>
      <c r="D319" s="190"/>
      <c r="E319" s="407"/>
      <c r="F319" s="60"/>
      <c r="G319" s="284" t="s">
        <v>1264</v>
      </c>
      <c r="H319" s="58">
        <v>5804055</v>
      </c>
      <c r="I319" s="190">
        <v>4375256</v>
      </c>
    </row>
    <row r="320" spans="1:10">
      <c r="A320" s="60"/>
      <c r="B320" s="284"/>
      <c r="C320" s="58"/>
      <c r="D320" s="190"/>
      <c r="E320" s="407"/>
      <c r="F320" s="60"/>
      <c r="G320" s="284" t="s">
        <v>1265</v>
      </c>
      <c r="H320" s="58">
        <v>853389.5</v>
      </c>
      <c r="I320" s="190">
        <v>166614.5</v>
      </c>
    </row>
    <row r="321" spans="1:11">
      <c r="A321" s="60"/>
      <c r="B321" s="284"/>
      <c r="C321" s="58"/>
      <c r="D321" s="190"/>
      <c r="E321" s="407"/>
      <c r="F321" s="60"/>
      <c r="G321" s="113" t="s">
        <v>1266</v>
      </c>
      <c r="H321" s="58">
        <v>52397</v>
      </c>
      <c r="I321" s="186" t="s">
        <v>242</v>
      </c>
    </row>
    <row r="322" spans="1:11">
      <c r="A322" s="60"/>
      <c r="B322" s="284"/>
      <c r="C322" s="58"/>
      <c r="D322" s="190"/>
      <c r="E322" s="407"/>
      <c r="F322" s="60"/>
      <c r="G322" s="284" t="s">
        <v>1267</v>
      </c>
      <c r="H322" s="58">
        <v>13973</v>
      </c>
      <c r="I322" s="190">
        <v>13431</v>
      </c>
    </row>
    <row r="323" spans="1:11">
      <c r="A323" s="60"/>
      <c r="B323" s="284"/>
      <c r="C323" s="58"/>
      <c r="D323" s="190"/>
      <c r="E323" s="407"/>
      <c r="F323" s="58"/>
      <c r="G323" s="284" t="s">
        <v>722</v>
      </c>
      <c r="H323" s="58"/>
      <c r="I323" s="190"/>
    </row>
    <row r="324" spans="1:11">
      <c r="A324" s="60"/>
      <c r="B324" s="284"/>
      <c r="C324" s="58"/>
      <c r="D324" s="190"/>
      <c r="E324" s="407"/>
      <c r="F324" s="58"/>
      <c r="G324" s="113" t="s">
        <v>716</v>
      </c>
      <c r="H324" s="58">
        <f>1112668+40000</f>
        <v>1152668</v>
      </c>
      <c r="I324" s="190">
        <v>279598</v>
      </c>
    </row>
    <row r="325" spans="1:11">
      <c r="A325" s="60"/>
      <c r="B325" s="284"/>
      <c r="C325" s="58"/>
      <c r="D325" s="190"/>
      <c r="E325" s="407"/>
      <c r="F325" s="58"/>
      <c r="G325" s="284" t="s">
        <v>717</v>
      </c>
      <c r="H325" s="58">
        <v>184223</v>
      </c>
      <c r="I325" s="190">
        <v>191277</v>
      </c>
    </row>
    <row r="326" spans="1:11">
      <c r="A326" s="60"/>
      <c r="B326" s="284"/>
      <c r="C326" s="58"/>
      <c r="D326" s="190"/>
      <c r="E326" s="407"/>
      <c r="F326" s="58"/>
      <c r="G326" s="284" t="s">
        <v>718</v>
      </c>
      <c r="H326" s="58">
        <v>1139</v>
      </c>
      <c r="I326" s="190">
        <v>1097</v>
      </c>
    </row>
    <row r="327" spans="1:11">
      <c r="A327" s="60"/>
      <c r="B327" s="284"/>
      <c r="C327" s="58"/>
      <c r="D327" s="190"/>
      <c r="E327" s="407"/>
      <c r="F327" s="58"/>
      <c r="G327" s="284" t="s">
        <v>721</v>
      </c>
      <c r="H327" s="58"/>
      <c r="I327" s="190"/>
    </row>
    <row r="328" spans="1:11">
      <c r="A328" s="60"/>
      <c r="B328" s="284"/>
      <c r="C328" s="58"/>
      <c r="D328" s="190"/>
      <c r="E328" s="407"/>
      <c r="F328" s="58"/>
      <c r="G328" s="284" t="s">
        <v>1268</v>
      </c>
      <c r="H328" s="58">
        <v>1570905</v>
      </c>
      <c r="I328" s="190">
        <v>476662</v>
      </c>
    </row>
    <row r="329" spans="1:11">
      <c r="A329" s="60"/>
      <c r="B329" s="284"/>
      <c r="C329" s="58"/>
      <c r="D329" s="190"/>
      <c r="E329" s="407"/>
      <c r="F329" s="58"/>
      <c r="G329" s="284" t="s">
        <v>1269</v>
      </c>
      <c r="H329" s="58">
        <v>6909741</v>
      </c>
      <c r="I329" s="190">
        <v>6293863</v>
      </c>
    </row>
    <row r="330" spans="1:11">
      <c r="A330" s="60"/>
      <c r="B330" s="284"/>
      <c r="C330" s="58"/>
      <c r="D330" s="190"/>
      <c r="E330" s="407"/>
      <c r="F330" s="58"/>
      <c r="G330" s="284" t="s">
        <v>724</v>
      </c>
      <c r="H330" s="58">
        <v>377500</v>
      </c>
      <c r="I330" s="190">
        <v>377500</v>
      </c>
    </row>
    <row r="331" spans="1:11">
      <c r="A331" s="60"/>
      <c r="B331" s="284"/>
      <c r="C331" s="58"/>
      <c r="D331" s="190"/>
      <c r="E331" s="407"/>
      <c r="F331" s="58"/>
      <c r="G331" s="284" t="s">
        <v>1072</v>
      </c>
      <c r="H331" s="58">
        <v>22209</v>
      </c>
      <c r="I331" s="190">
        <v>24564</v>
      </c>
    </row>
    <row r="332" spans="1:11">
      <c r="A332" s="60"/>
      <c r="B332" s="284"/>
      <c r="C332" s="58"/>
      <c r="D332" s="190"/>
      <c r="E332" s="407"/>
      <c r="F332" s="58"/>
      <c r="G332" s="284" t="s">
        <v>1071</v>
      </c>
      <c r="H332" s="58">
        <v>8357912</v>
      </c>
      <c r="I332" s="190">
        <v>23452360</v>
      </c>
    </row>
    <row r="333" spans="1:11">
      <c r="A333" s="60"/>
      <c r="B333" s="284"/>
      <c r="C333" s="58"/>
      <c r="D333" s="190"/>
      <c r="E333" s="407"/>
      <c r="F333" s="58"/>
      <c r="G333" s="284" t="s">
        <v>1074</v>
      </c>
      <c r="H333" s="58">
        <v>1887467</v>
      </c>
      <c r="I333" s="190">
        <v>4402423</v>
      </c>
    </row>
    <row r="334" spans="1:11" ht="18">
      <c r="A334" s="60"/>
      <c r="B334" s="284"/>
      <c r="C334" s="58"/>
      <c r="D334" s="190"/>
      <c r="E334" s="407"/>
      <c r="F334" s="423"/>
      <c r="G334" s="284" t="s">
        <v>1203</v>
      </c>
      <c r="H334" s="58">
        <v>52188</v>
      </c>
      <c r="I334" s="190">
        <v>158119</v>
      </c>
    </row>
    <row r="335" spans="1:11" ht="18">
      <c r="A335" s="472"/>
      <c r="B335" s="350"/>
      <c r="C335" s="63"/>
      <c r="D335" s="444"/>
      <c r="E335" s="407"/>
      <c r="F335" s="475"/>
      <c r="G335" s="350" t="s">
        <v>1204</v>
      </c>
      <c r="H335" s="63">
        <v>666100</v>
      </c>
      <c r="I335" s="444">
        <v>134896</v>
      </c>
    </row>
    <row r="336" spans="1:11" ht="18.600000000000001" thickBot="1">
      <c r="A336" s="403"/>
      <c r="B336" s="287"/>
      <c r="C336" s="61"/>
      <c r="D336" s="439"/>
      <c r="E336" s="407"/>
      <c r="F336" s="424"/>
      <c r="G336" s="287" t="s">
        <v>1445</v>
      </c>
      <c r="H336" s="61">
        <v>194571</v>
      </c>
      <c r="I336" s="439"/>
      <c r="J336" s="65"/>
      <c r="K336" s="65"/>
    </row>
    <row r="337" spans="1:10" ht="18.600000000000001" thickBot="1">
      <c r="A337" s="428"/>
      <c r="B337" s="429" t="s">
        <v>422</v>
      </c>
      <c r="C337" s="430">
        <f>SUM(C10:C336)</f>
        <v>1810807732.8600001</v>
      </c>
      <c r="D337" s="430">
        <f>SUM(D10:D336)</f>
        <v>1785452557.8600001</v>
      </c>
      <c r="E337" s="398"/>
      <c r="F337" s="185"/>
      <c r="G337" s="434" t="s">
        <v>422</v>
      </c>
      <c r="H337" s="460">
        <f>SUM(H10:H336)</f>
        <v>1810807732.8599999</v>
      </c>
      <c r="I337" s="431">
        <f>SUM(I10:I52,I55:I108,I111:I164,I167:I229,I232:I289,I292:I336)</f>
        <v>1785452557.8599999</v>
      </c>
      <c r="J337" s="432"/>
    </row>
    <row r="338" spans="1:10">
      <c r="A338" s="495"/>
      <c r="E338" s="401"/>
    </row>
    <row r="339" spans="1:10">
      <c r="A339" s="495"/>
      <c r="B339" s="57"/>
    </row>
    <row r="340" spans="1:10">
      <c r="A340" s="495"/>
      <c r="B340" s="57"/>
    </row>
    <row r="341" spans="1:10">
      <c r="A341" s="57"/>
      <c r="B341" s="57"/>
      <c r="G341" s="494"/>
    </row>
    <row r="342" spans="1:10">
      <c r="A342" s="229"/>
      <c r="B342" s="57"/>
    </row>
    <row r="343" spans="1:10">
      <c r="A343" s="229"/>
      <c r="B343" s="57"/>
      <c r="C343" s="66"/>
      <c r="D343" s="66"/>
    </row>
    <row r="344" spans="1:10">
      <c r="A344" s="229"/>
      <c r="B344" s="622" t="s">
        <v>1015</v>
      </c>
      <c r="C344" s="622"/>
      <c r="D344" s="622"/>
      <c r="G344" s="622" t="s">
        <v>1201</v>
      </c>
      <c r="H344" s="622"/>
      <c r="I344" s="622"/>
    </row>
    <row r="345" spans="1:10">
      <c r="A345" s="229"/>
      <c r="B345" s="622"/>
      <c r="C345" s="622"/>
      <c r="D345" s="622"/>
      <c r="G345" s="622"/>
      <c r="H345" s="622"/>
      <c r="I345" s="622"/>
    </row>
    <row r="346" spans="1:10">
      <c r="A346" s="229"/>
      <c r="B346" s="622"/>
      <c r="C346" s="622"/>
      <c r="D346" s="622"/>
      <c r="G346" s="622"/>
      <c r="H346" s="622"/>
      <c r="I346" s="622"/>
    </row>
    <row r="347" spans="1:10">
      <c r="A347" s="57"/>
      <c r="B347" s="622"/>
      <c r="C347" s="622"/>
      <c r="D347" s="622"/>
      <c r="G347" s="622"/>
      <c r="H347" s="622"/>
      <c r="I347" s="622"/>
    </row>
    <row r="348" spans="1:10">
      <c r="A348" s="57"/>
      <c r="G348" s="494"/>
    </row>
    <row r="349" spans="1:10">
      <c r="A349" s="57"/>
    </row>
    <row r="350" spans="1:10">
      <c r="A350" s="621" t="s">
        <v>1024</v>
      </c>
      <c r="B350" s="621"/>
      <c r="C350" s="621"/>
      <c r="D350" s="621"/>
      <c r="E350" s="621"/>
      <c r="F350" s="621"/>
      <c r="G350" s="621"/>
      <c r="H350" s="621"/>
      <c r="I350" s="621"/>
    </row>
    <row r="351" spans="1:10">
      <c r="A351" s="57"/>
      <c r="C351" s="152"/>
    </row>
    <row r="352" spans="1:10">
      <c r="A352" s="57"/>
    </row>
    <row r="353" spans="1:10">
      <c r="A353" s="57"/>
      <c r="D353" s="57"/>
    </row>
    <row r="354" spans="1:10">
      <c r="A354" s="57"/>
      <c r="D354" s="57"/>
    </row>
    <row r="355" spans="1:10">
      <c r="A355" s="57"/>
      <c r="D355" s="57"/>
    </row>
    <row r="356" spans="1:10">
      <c r="A356" s="57"/>
      <c r="D356" s="57"/>
      <c r="F356" s="57"/>
    </row>
    <row r="357" spans="1:10">
      <c r="A357" s="57"/>
      <c r="D357" s="57"/>
      <c r="E357" s="57"/>
      <c r="F357" s="57"/>
    </row>
    <row r="358" spans="1:10">
      <c r="A358" s="57"/>
      <c r="D358" s="57"/>
      <c r="E358" s="57"/>
      <c r="F358" s="57"/>
      <c r="G358" s="57"/>
      <c r="H358" s="57"/>
      <c r="I358" s="57"/>
    </row>
    <row r="359" spans="1:10">
      <c r="A359" s="57"/>
      <c r="D359" s="57"/>
      <c r="E359" s="57"/>
      <c r="F359" s="57"/>
      <c r="G359" s="57"/>
      <c r="H359" s="57"/>
      <c r="I359" s="57"/>
    </row>
    <row r="360" spans="1:10">
      <c r="A360" s="57"/>
      <c r="D360" s="57"/>
      <c r="E360" s="57"/>
      <c r="F360" s="57"/>
      <c r="G360" s="57"/>
      <c r="H360" s="57"/>
      <c r="I360" s="57"/>
    </row>
    <row r="361" spans="1:10">
      <c r="A361" s="57"/>
      <c r="D361" s="57"/>
      <c r="E361" s="57"/>
      <c r="F361" s="57"/>
      <c r="G361" s="57"/>
      <c r="H361" s="57"/>
      <c r="I361" s="57"/>
    </row>
    <row r="362" spans="1:10">
      <c r="A362" s="57"/>
      <c r="D362" s="57"/>
      <c r="E362" s="57"/>
      <c r="F362" s="494" t="s">
        <v>1025</v>
      </c>
      <c r="G362" s="57"/>
      <c r="H362" s="57"/>
      <c r="I362" s="57"/>
    </row>
    <row r="363" spans="1:10">
      <c r="A363" s="57"/>
      <c r="D363" s="57"/>
      <c r="E363" s="57"/>
      <c r="F363" s="57"/>
      <c r="G363" s="57"/>
      <c r="H363" s="57"/>
      <c r="I363" s="57"/>
    </row>
    <row r="364" spans="1:10">
      <c r="A364" s="57"/>
      <c r="D364" s="57"/>
      <c r="E364" s="57"/>
      <c r="F364" s="57"/>
      <c r="G364" s="494"/>
      <c r="H364" s="494"/>
      <c r="I364" s="494"/>
    </row>
    <row r="365" spans="1:10">
      <c r="A365" s="57"/>
      <c r="E365" s="57"/>
      <c r="F365" s="57"/>
      <c r="G365" s="57"/>
      <c r="H365" s="57"/>
      <c r="I365" s="57"/>
    </row>
    <row r="366" spans="1:10">
      <c r="A366" s="57"/>
      <c r="E366" s="57"/>
      <c r="F366" s="57"/>
      <c r="G366" s="57"/>
      <c r="H366" s="57"/>
      <c r="I366" s="57"/>
    </row>
    <row r="367" spans="1:10">
      <c r="A367" s="57"/>
      <c r="E367" s="57"/>
      <c r="F367" s="57"/>
      <c r="G367" s="57"/>
      <c r="H367" s="57"/>
      <c r="I367" s="57"/>
      <c r="J367" s="394"/>
    </row>
    <row r="368" spans="1:10">
      <c r="A368" s="57"/>
      <c r="E368" s="57"/>
      <c r="G368" s="57"/>
      <c r="H368" s="57"/>
      <c r="I368" s="57"/>
      <c r="J368" s="395"/>
    </row>
    <row r="369" spans="1:9">
      <c r="A369" s="57"/>
      <c r="G369" s="57"/>
      <c r="H369" s="57"/>
      <c r="I369" s="57"/>
    </row>
    <row r="370" spans="1:9">
      <c r="A370" s="57"/>
    </row>
    <row r="371" spans="1:9">
      <c r="A371" s="57"/>
    </row>
    <row r="372" spans="1:9">
      <c r="A372" s="57"/>
    </row>
    <row r="373" spans="1:9">
      <c r="A373" s="57"/>
    </row>
    <row r="374" spans="1:9">
      <c r="A374" s="57"/>
    </row>
    <row r="375" spans="1:9">
      <c r="A375" s="57"/>
    </row>
    <row r="376" spans="1:9">
      <c r="A376" s="57"/>
    </row>
    <row r="377" spans="1:9">
      <c r="A377" s="57"/>
    </row>
    <row r="378" spans="1:9">
      <c r="A378" s="57"/>
    </row>
    <row r="379" spans="1:9">
      <c r="A379" s="57"/>
    </row>
    <row r="380" spans="1:9">
      <c r="A380" s="57"/>
    </row>
    <row r="381" spans="1:9">
      <c r="A381" s="57"/>
    </row>
    <row r="382" spans="1:9">
      <c r="A382" s="57"/>
    </row>
    <row r="383" spans="1:9">
      <c r="A383" s="57"/>
    </row>
    <row r="384" spans="1:9">
      <c r="A384" s="57"/>
    </row>
    <row r="385" spans="1:1">
      <c r="A385" s="57"/>
    </row>
    <row r="386" spans="1:1">
      <c r="A386" s="57"/>
    </row>
    <row r="387" spans="1:1">
      <c r="A387" s="57"/>
    </row>
    <row r="388" spans="1:1">
      <c r="A388" s="57"/>
    </row>
    <row r="389" spans="1:1">
      <c r="A389" s="57"/>
    </row>
    <row r="390" spans="1:1">
      <c r="A390" s="57"/>
    </row>
    <row r="391" spans="1:1">
      <c r="A391" s="57"/>
    </row>
    <row r="392" spans="1:1">
      <c r="A392" s="57"/>
    </row>
    <row r="393" spans="1:1">
      <c r="A393" s="57"/>
    </row>
    <row r="394" spans="1:1">
      <c r="A394" s="57"/>
    </row>
    <row r="395" spans="1:1">
      <c r="A395" s="57"/>
    </row>
    <row r="396" spans="1:1">
      <c r="A396" s="57"/>
    </row>
    <row r="397" spans="1:1">
      <c r="A397" s="57"/>
    </row>
    <row r="398" spans="1:1">
      <c r="A398" s="57"/>
    </row>
    <row r="399" spans="1:1">
      <c r="A399" s="57"/>
    </row>
    <row r="400" spans="1:1">
      <c r="A400" s="57"/>
    </row>
    <row r="401" spans="1:1">
      <c r="A401" s="57"/>
    </row>
    <row r="402" spans="1:1">
      <c r="A402" s="57"/>
    </row>
    <row r="403" spans="1:1">
      <c r="A403" s="57"/>
    </row>
    <row r="404" spans="1:1">
      <c r="A404" s="57"/>
    </row>
    <row r="405" spans="1:1">
      <c r="A405" s="57"/>
    </row>
    <row r="406" spans="1:1">
      <c r="A406" s="57"/>
    </row>
    <row r="407" spans="1:1">
      <c r="A407" s="57"/>
    </row>
    <row r="408" spans="1:1">
      <c r="A408" s="57"/>
    </row>
    <row r="409" spans="1:1">
      <c r="A409" s="57"/>
    </row>
    <row r="410" spans="1:1">
      <c r="A410" s="57"/>
    </row>
    <row r="411" spans="1:1">
      <c r="A411" s="57"/>
    </row>
    <row r="412" spans="1:1">
      <c r="A412" s="57"/>
    </row>
    <row r="413" spans="1:1">
      <c r="A413" s="57"/>
    </row>
    <row r="414" spans="1:1">
      <c r="A414" s="57"/>
    </row>
    <row r="415" spans="1:1">
      <c r="A415" s="57"/>
    </row>
    <row r="416" spans="1:1">
      <c r="A416" s="57"/>
    </row>
    <row r="417" spans="1:1">
      <c r="A417" s="57"/>
    </row>
    <row r="418" spans="1:1">
      <c r="A418" s="57"/>
    </row>
    <row r="419" spans="1:1">
      <c r="A419" s="57"/>
    </row>
    <row r="420" spans="1:1">
      <c r="A420" s="57"/>
    </row>
    <row r="421" spans="1:1">
      <c r="A421" s="57"/>
    </row>
    <row r="422" spans="1:1">
      <c r="A422" s="57"/>
    </row>
    <row r="423" spans="1:1">
      <c r="A423" s="57"/>
    </row>
    <row r="424" spans="1:1">
      <c r="A424" s="57"/>
    </row>
    <row r="425" spans="1:1">
      <c r="A425" s="57"/>
    </row>
    <row r="426" spans="1:1">
      <c r="A426" s="57"/>
    </row>
    <row r="427" spans="1:1">
      <c r="A427" s="57"/>
    </row>
    <row r="428" spans="1:1">
      <c r="A428" s="57"/>
    </row>
    <row r="429" spans="1:1">
      <c r="A429" s="57"/>
    </row>
    <row r="430" spans="1:1">
      <c r="A430" s="57"/>
    </row>
    <row r="431" spans="1:1">
      <c r="A431" s="57"/>
    </row>
    <row r="432" spans="1:1">
      <c r="A432" s="57"/>
    </row>
    <row r="433" spans="1:1">
      <c r="A433" s="57"/>
    </row>
    <row r="434" spans="1:1">
      <c r="A434" s="57"/>
    </row>
    <row r="435" spans="1:1">
      <c r="A435" s="57"/>
    </row>
    <row r="436" spans="1:1">
      <c r="A436" s="57"/>
    </row>
    <row r="437" spans="1:1">
      <c r="A437" s="57"/>
    </row>
    <row r="438" spans="1:1">
      <c r="A438" s="57"/>
    </row>
    <row r="439" spans="1:1">
      <c r="A439" s="57"/>
    </row>
    <row r="440" spans="1:1">
      <c r="A440" s="57"/>
    </row>
    <row r="441" spans="1:1">
      <c r="A441" s="57"/>
    </row>
    <row r="442" spans="1:1">
      <c r="A442" s="57"/>
    </row>
    <row r="443" spans="1:1">
      <c r="A443" s="57"/>
    </row>
    <row r="444" spans="1:1">
      <c r="A444" s="57"/>
    </row>
    <row r="445" spans="1:1">
      <c r="A445" s="57"/>
    </row>
    <row r="446" spans="1:1">
      <c r="A446" s="57"/>
    </row>
    <row r="447" spans="1:1">
      <c r="A447" s="57"/>
    </row>
    <row r="448" spans="1:1">
      <c r="A448" s="57"/>
    </row>
    <row r="449" spans="1:1">
      <c r="A449" s="57"/>
    </row>
    <row r="450" spans="1:1">
      <c r="A450" s="57"/>
    </row>
    <row r="451" spans="1:1">
      <c r="A451" s="57"/>
    </row>
    <row r="452" spans="1:1">
      <c r="A452" s="57"/>
    </row>
    <row r="453" spans="1:1">
      <c r="A453" s="57"/>
    </row>
    <row r="454" spans="1:1">
      <c r="A454" s="57"/>
    </row>
    <row r="455" spans="1:1">
      <c r="A455" s="57"/>
    </row>
    <row r="456" spans="1:1">
      <c r="A456" s="57"/>
    </row>
    <row r="457" spans="1:1">
      <c r="A457" s="57"/>
    </row>
    <row r="458" spans="1:1">
      <c r="A458" s="57"/>
    </row>
    <row r="459" spans="1:1">
      <c r="A459" s="57"/>
    </row>
    <row r="460" spans="1:1">
      <c r="A460" s="57"/>
    </row>
    <row r="461" spans="1:1">
      <c r="A461" s="57"/>
    </row>
    <row r="462" spans="1:1">
      <c r="A462" s="57"/>
    </row>
    <row r="463" spans="1:1">
      <c r="A463" s="57"/>
    </row>
    <row r="464" spans="1:1">
      <c r="A464" s="57"/>
    </row>
    <row r="465" spans="1:1">
      <c r="A465" s="57"/>
    </row>
    <row r="466" spans="1:1">
      <c r="A466" s="57"/>
    </row>
    <row r="467" spans="1:1">
      <c r="A467" s="57"/>
    </row>
    <row r="468" spans="1:1">
      <c r="A468" s="57"/>
    </row>
    <row r="469" spans="1:1">
      <c r="A469" s="57"/>
    </row>
    <row r="470" spans="1:1">
      <c r="A470" s="57"/>
    </row>
    <row r="471" spans="1:1">
      <c r="A471" s="57"/>
    </row>
    <row r="472" spans="1:1">
      <c r="A472" s="57"/>
    </row>
    <row r="473" spans="1:1">
      <c r="A473" s="57"/>
    </row>
    <row r="474" spans="1:1">
      <c r="A474" s="57"/>
    </row>
    <row r="475" spans="1:1">
      <c r="A475" s="57"/>
    </row>
    <row r="476" spans="1:1">
      <c r="A476" s="57"/>
    </row>
    <row r="477" spans="1:1">
      <c r="A477" s="57"/>
    </row>
    <row r="478" spans="1:1">
      <c r="A478" s="57"/>
    </row>
    <row r="479" spans="1:1">
      <c r="A479" s="57"/>
    </row>
    <row r="480" spans="1:1">
      <c r="A480" s="57"/>
    </row>
    <row r="481" spans="1:1">
      <c r="A481" s="57"/>
    </row>
    <row r="482" spans="1:1">
      <c r="A482" s="57"/>
    </row>
    <row r="483" spans="1:1">
      <c r="A483" s="57"/>
    </row>
    <row r="484" spans="1:1">
      <c r="A484" s="57"/>
    </row>
    <row r="485" spans="1:1">
      <c r="A485" s="57"/>
    </row>
    <row r="486" spans="1:1">
      <c r="A486" s="57"/>
    </row>
    <row r="487" spans="1:1">
      <c r="A487" s="57"/>
    </row>
    <row r="488" spans="1:1">
      <c r="A488" s="57"/>
    </row>
    <row r="489" spans="1:1">
      <c r="A489" s="57"/>
    </row>
    <row r="490" spans="1:1">
      <c r="A490" s="57"/>
    </row>
    <row r="491" spans="1:1">
      <c r="A491" s="57"/>
    </row>
    <row r="492" spans="1:1">
      <c r="A492" s="57"/>
    </row>
    <row r="493" spans="1:1">
      <c r="A493" s="57"/>
    </row>
    <row r="494" spans="1:1">
      <c r="A494" s="57"/>
    </row>
    <row r="495" spans="1:1">
      <c r="A495" s="57"/>
    </row>
    <row r="496" spans="1:1">
      <c r="A496" s="57"/>
    </row>
    <row r="497" spans="1:1">
      <c r="A497" s="57"/>
    </row>
    <row r="498" spans="1:1">
      <c r="A498" s="57"/>
    </row>
    <row r="499" spans="1:1">
      <c r="A499" s="57"/>
    </row>
    <row r="500" spans="1:1">
      <c r="A500" s="57"/>
    </row>
    <row r="501" spans="1:1">
      <c r="A501" s="57"/>
    </row>
    <row r="502" spans="1:1">
      <c r="A502" s="57"/>
    </row>
    <row r="503" spans="1:1">
      <c r="A503" s="57"/>
    </row>
    <row r="504" spans="1:1">
      <c r="A504" s="57"/>
    </row>
    <row r="505" spans="1:1">
      <c r="A505" s="57"/>
    </row>
    <row r="506" spans="1:1">
      <c r="A506" s="57"/>
    </row>
    <row r="507" spans="1:1">
      <c r="A507" s="57"/>
    </row>
    <row r="508" spans="1:1">
      <c r="A508" s="57"/>
    </row>
    <row r="509" spans="1:1">
      <c r="A509" s="57"/>
    </row>
    <row r="510" spans="1:1">
      <c r="A510" s="57"/>
    </row>
    <row r="511" spans="1:1">
      <c r="A511" s="57"/>
    </row>
    <row r="512" spans="1:1">
      <c r="A512" s="57"/>
    </row>
    <row r="513" spans="1:1">
      <c r="A513" s="57"/>
    </row>
    <row r="514" spans="1:1">
      <c r="A514" s="57"/>
    </row>
    <row r="515" spans="1:1">
      <c r="A515" s="57"/>
    </row>
    <row r="516" spans="1:1">
      <c r="A516" s="57"/>
    </row>
    <row r="517" spans="1:1">
      <c r="A517" s="57"/>
    </row>
    <row r="518" spans="1:1">
      <c r="A518" s="57"/>
    </row>
    <row r="519" spans="1:1">
      <c r="A519" s="57"/>
    </row>
    <row r="520" spans="1:1">
      <c r="A520" s="57"/>
    </row>
    <row r="521" spans="1:1">
      <c r="A521" s="57"/>
    </row>
    <row r="522" spans="1:1">
      <c r="A522" s="57"/>
    </row>
    <row r="523" spans="1:1">
      <c r="A523" s="57"/>
    </row>
    <row r="524" spans="1:1">
      <c r="A524" s="57"/>
    </row>
    <row r="525" spans="1:1">
      <c r="A525" s="57"/>
    </row>
    <row r="526" spans="1:1">
      <c r="A526" s="57"/>
    </row>
    <row r="527" spans="1:1">
      <c r="A527" s="57"/>
    </row>
    <row r="528" spans="1:1">
      <c r="A528" s="57"/>
    </row>
    <row r="529" spans="1:1">
      <c r="A529" s="57"/>
    </row>
    <row r="530" spans="1:1">
      <c r="A530" s="57"/>
    </row>
    <row r="531" spans="1:1">
      <c r="A531" s="57"/>
    </row>
    <row r="532" spans="1:1">
      <c r="A532" s="57"/>
    </row>
    <row r="533" spans="1:1">
      <c r="A533" s="57"/>
    </row>
    <row r="534" spans="1:1">
      <c r="A534" s="57"/>
    </row>
    <row r="535" spans="1:1">
      <c r="A535" s="57"/>
    </row>
    <row r="536" spans="1:1">
      <c r="A536" s="57"/>
    </row>
    <row r="537" spans="1:1">
      <c r="A537" s="57"/>
    </row>
    <row r="538" spans="1:1">
      <c r="A538" s="57"/>
    </row>
    <row r="539" spans="1:1">
      <c r="A539" s="57"/>
    </row>
    <row r="540" spans="1:1">
      <c r="A540" s="57"/>
    </row>
    <row r="541" spans="1:1">
      <c r="A541" s="57"/>
    </row>
    <row r="542" spans="1:1">
      <c r="A542" s="57"/>
    </row>
    <row r="543" spans="1:1">
      <c r="A543" s="57"/>
    </row>
    <row r="544" spans="1:1">
      <c r="A544" s="57"/>
    </row>
    <row r="545" spans="1:1">
      <c r="A545" s="57"/>
    </row>
    <row r="546" spans="1:1">
      <c r="A546" s="57"/>
    </row>
    <row r="547" spans="1:1">
      <c r="A547" s="57"/>
    </row>
    <row r="548" spans="1:1">
      <c r="A548" s="57"/>
    </row>
    <row r="549" spans="1:1">
      <c r="A549" s="57"/>
    </row>
    <row r="550" spans="1:1">
      <c r="A550" s="57"/>
    </row>
    <row r="551" spans="1:1">
      <c r="A551" s="57"/>
    </row>
    <row r="552" spans="1:1">
      <c r="A552" s="57"/>
    </row>
    <row r="553" spans="1:1">
      <c r="A553" s="57"/>
    </row>
    <row r="554" spans="1:1">
      <c r="A554" s="57"/>
    </row>
    <row r="555" spans="1:1">
      <c r="A555" s="57"/>
    </row>
    <row r="556" spans="1:1">
      <c r="A556" s="57"/>
    </row>
    <row r="557" spans="1:1">
      <c r="A557" s="57"/>
    </row>
    <row r="558" spans="1:1">
      <c r="A558" s="57"/>
    </row>
    <row r="559" spans="1:1">
      <c r="A559" s="57"/>
    </row>
    <row r="560" spans="1:1">
      <c r="A560" s="57"/>
    </row>
    <row r="561" spans="1:1">
      <c r="A561" s="57"/>
    </row>
    <row r="562" spans="1:1">
      <c r="A562" s="57"/>
    </row>
    <row r="563" spans="1:1">
      <c r="A563" s="57"/>
    </row>
    <row r="564" spans="1:1">
      <c r="A564" s="57"/>
    </row>
    <row r="565" spans="1:1">
      <c r="A565" s="57"/>
    </row>
    <row r="566" spans="1:1">
      <c r="A566" s="57"/>
    </row>
    <row r="567" spans="1:1">
      <c r="A567" s="57"/>
    </row>
    <row r="568" spans="1:1">
      <c r="A568" s="57"/>
    </row>
    <row r="569" spans="1:1">
      <c r="A569" s="57"/>
    </row>
    <row r="570" spans="1:1">
      <c r="A570" s="57"/>
    </row>
    <row r="571" spans="1:1">
      <c r="A571" s="57"/>
    </row>
    <row r="572" spans="1:1">
      <c r="A572" s="57"/>
    </row>
    <row r="573" spans="1:1">
      <c r="A573" s="57"/>
    </row>
    <row r="574" spans="1:1">
      <c r="A574" s="57"/>
    </row>
    <row r="575" spans="1:1">
      <c r="A575" s="57"/>
    </row>
    <row r="576" spans="1:1">
      <c r="A576" s="57"/>
    </row>
    <row r="577" spans="1:1">
      <c r="A577" s="57"/>
    </row>
    <row r="578" spans="1:1">
      <c r="A578" s="57"/>
    </row>
    <row r="579" spans="1:1">
      <c r="A579" s="57"/>
    </row>
    <row r="580" spans="1:1">
      <c r="A580" s="57"/>
    </row>
    <row r="581" spans="1:1">
      <c r="A581" s="57"/>
    </row>
    <row r="582" spans="1:1">
      <c r="A582" s="57"/>
    </row>
    <row r="583" spans="1:1">
      <c r="A583" s="57"/>
    </row>
    <row r="584" spans="1:1">
      <c r="A584" s="57"/>
    </row>
    <row r="585" spans="1:1">
      <c r="A585" s="57"/>
    </row>
    <row r="586" spans="1:1">
      <c r="A586" s="57"/>
    </row>
    <row r="587" spans="1:1">
      <c r="A587" s="57"/>
    </row>
    <row r="588" spans="1:1">
      <c r="A588" s="57"/>
    </row>
    <row r="589" spans="1:1">
      <c r="A589" s="57"/>
    </row>
    <row r="590" spans="1:1">
      <c r="A590" s="57"/>
    </row>
    <row r="591" spans="1:1">
      <c r="A591" s="57"/>
    </row>
    <row r="592" spans="1:1">
      <c r="A592" s="57"/>
    </row>
    <row r="593" spans="1:1">
      <c r="A593" s="57"/>
    </row>
    <row r="594" spans="1:1">
      <c r="A594" s="57"/>
    </row>
    <row r="595" spans="1:1">
      <c r="A595" s="57"/>
    </row>
    <row r="596" spans="1:1">
      <c r="A596" s="57"/>
    </row>
    <row r="597" spans="1:1">
      <c r="A597" s="57"/>
    </row>
    <row r="598" spans="1:1">
      <c r="A598" s="57"/>
    </row>
    <row r="599" spans="1:1">
      <c r="A599" s="57"/>
    </row>
    <row r="600" spans="1:1">
      <c r="A600" s="57"/>
    </row>
    <row r="601" spans="1:1">
      <c r="A601" s="57"/>
    </row>
    <row r="602" spans="1:1">
      <c r="A602" s="57"/>
    </row>
    <row r="603" spans="1:1">
      <c r="A603" s="57"/>
    </row>
    <row r="604" spans="1:1">
      <c r="A604" s="57"/>
    </row>
    <row r="605" spans="1:1">
      <c r="A605" s="57"/>
    </row>
  </sheetData>
  <mergeCells count="20">
    <mergeCell ref="A350:I350"/>
    <mergeCell ref="F166:G166"/>
    <mergeCell ref="F230:I230"/>
    <mergeCell ref="B344:D347"/>
    <mergeCell ref="G344:I347"/>
    <mergeCell ref="F231:I231"/>
    <mergeCell ref="F110:I110"/>
    <mergeCell ref="F290:I290"/>
    <mergeCell ref="F291:I291"/>
    <mergeCell ref="F165:I165"/>
    <mergeCell ref="F109:I109"/>
    <mergeCell ref="A1:I3"/>
    <mergeCell ref="A7:B7"/>
    <mergeCell ref="F7:G7"/>
    <mergeCell ref="F8:G8"/>
    <mergeCell ref="A4:I6"/>
    <mergeCell ref="E7:E75"/>
    <mergeCell ref="F53:I53"/>
    <mergeCell ref="F54:I54"/>
    <mergeCell ref="A8:B8"/>
  </mergeCells>
  <phoneticPr fontId="0" type="noConversion"/>
  <printOptions horizontalCentered="1"/>
  <pageMargins left="0.25" right="0.25" top="0.25" bottom="0.25" header="0" footer="0"/>
  <pageSetup paperSize="8" scale="80" fitToHeight="6" orientation="landscape" r:id="rId1"/>
  <headerFooter alignWithMargins="0"/>
  <rowBreaks count="5" manualBreakCount="5">
    <brk id="54" max="8" man="1"/>
    <brk id="110" max="8" man="1"/>
    <brk id="166" max="8" man="1"/>
    <brk id="231" max="8" man="1"/>
    <brk id="29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8"/>
  <dimension ref="A1:G29"/>
  <sheetViews>
    <sheetView view="pageBreakPreview" zoomScaleSheetLayoutView="100" workbookViewId="0">
      <selection activeCell="A33" sqref="A33"/>
    </sheetView>
  </sheetViews>
  <sheetFormatPr defaultColWidth="9.109375" defaultRowHeight="15.6"/>
  <cols>
    <col min="1" max="1" width="85.44140625" style="69" customWidth="1"/>
    <col min="2" max="16384" width="9.109375" style="69"/>
  </cols>
  <sheetData>
    <row r="1" spans="1:7">
      <c r="A1" s="623"/>
      <c r="B1" s="623"/>
      <c r="C1" s="623"/>
      <c r="D1" s="623"/>
      <c r="E1" s="623"/>
      <c r="F1" s="124"/>
      <c r="G1" s="124"/>
    </row>
    <row r="2" spans="1:7">
      <c r="A2" s="597" t="s">
        <v>262</v>
      </c>
      <c r="B2" s="597"/>
      <c r="C2" s="597"/>
      <c r="D2" s="597"/>
      <c r="E2" s="597"/>
      <c r="F2" s="125"/>
      <c r="G2" s="125"/>
    </row>
    <row r="3" spans="1:7">
      <c r="A3" s="85"/>
    </row>
    <row r="4" spans="1:7">
      <c r="A4" s="594" t="s">
        <v>1415</v>
      </c>
      <c r="B4" s="594"/>
      <c r="C4" s="594"/>
      <c r="D4" s="594"/>
      <c r="E4" s="594"/>
    </row>
    <row r="5" spans="1:7">
      <c r="D5" s="598" t="s">
        <v>1393</v>
      </c>
      <c r="E5" s="598"/>
    </row>
    <row r="6" spans="1:7" ht="16.2" thickBot="1">
      <c r="D6" s="87"/>
      <c r="E6" s="87"/>
    </row>
    <row r="7" spans="1:7" ht="16.2" thickBot="1">
      <c r="A7" s="96" t="s">
        <v>82</v>
      </c>
      <c r="B7" s="590" t="s">
        <v>420</v>
      </c>
      <c r="C7" s="591"/>
      <c r="D7" s="590" t="s">
        <v>421</v>
      </c>
      <c r="E7" s="591"/>
    </row>
    <row r="8" spans="1:7">
      <c r="A8" s="91" t="s">
        <v>83</v>
      </c>
      <c r="B8" s="226" t="s">
        <v>242</v>
      </c>
      <c r="C8" s="224" t="s">
        <v>242</v>
      </c>
      <c r="D8" s="226" t="s">
        <v>242</v>
      </c>
      <c r="E8" s="224" t="s">
        <v>242</v>
      </c>
    </row>
    <row r="9" spans="1:7">
      <c r="A9" s="93" t="s">
        <v>84</v>
      </c>
      <c r="B9" s="102" t="s">
        <v>242</v>
      </c>
      <c r="C9" s="221" t="s">
        <v>242</v>
      </c>
      <c r="D9" s="102" t="s">
        <v>242</v>
      </c>
      <c r="E9" s="221" t="s">
        <v>242</v>
      </c>
    </row>
    <row r="10" spans="1:7">
      <c r="A10" s="93" t="s">
        <v>85</v>
      </c>
      <c r="B10" s="102"/>
      <c r="C10" s="221"/>
      <c r="D10" s="102"/>
      <c r="E10" s="221"/>
    </row>
    <row r="11" spans="1:7">
      <c r="A11" s="93" t="s">
        <v>86</v>
      </c>
      <c r="B11" s="102" t="s">
        <v>242</v>
      </c>
      <c r="C11" s="221" t="s">
        <v>242</v>
      </c>
      <c r="D11" s="102" t="s">
        <v>242</v>
      </c>
      <c r="E11" s="221" t="s">
        <v>242</v>
      </c>
    </row>
    <row r="12" spans="1:7">
      <c r="A12" s="93" t="s">
        <v>87</v>
      </c>
      <c r="B12" s="102" t="s">
        <v>242</v>
      </c>
      <c r="C12" s="221" t="s">
        <v>242</v>
      </c>
      <c r="D12" s="102" t="s">
        <v>242</v>
      </c>
      <c r="E12" s="221" t="s">
        <v>242</v>
      </c>
    </row>
    <row r="13" spans="1:7">
      <c r="A13" s="93" t="s">
        <v>88</v>
      </c>
      <c r="B13" s="122"/>
      <c r="C13" s="268"/>
      <c r="D13" s="122"/>
      <c r="E13" s="268"/>
    </row>
    <row r="14" spans="1:7">
      <c r="A14" s="93" t="s">
        <v>89</v>
      </c>
      <c r="B14" s="122"/>
      <c r="C14" s="268"/>
      <c r="D14" s="122"/>
      <c r="E14" s="268"/>
    </row>
    <row r="15" spans="1:7">
      <c r="A15" s="93" t="s">
        <v>90</v>
      </c>
      <c r="B15" s="102" t="s">
        <v>242</v>
      </c>
      <c r="C15" s="221" t="s">
        <v>242</v>
      </c>
      <c r="D15" s="102" t="s">
        <v>242</v>
      </c>
      <c r="E15" s="221" t="s">
        <v>242</v>
      </c>
    </row>
    <row r="16" spans="1:7">
      <c r="A16" s="93" t="s">
        <v>244</v>
      </c>
      <c r="B16" s="102" t="s">
        <v>112</v>
      </c>
      <c r="C16" s="221" t="s">
        <v>112</v>
      </c>
      <c r="D16" s="102" t="s">
        <v>112</v>
      </c>
      <c r="E16" s="221" t="s">
        <v>112</v>
      </c>
    </row>
    <row r="17" spans="1:5">
      <c r="A17" s="93" t="s">
        <v>102</v>
      </c>
      <c r="B17" s="102" t="s">
        <v>242</v>
      </c>
      <c r="C17" s="221" t="s">
        <v>242</v>
      </c>
      <c r="D17" s="102" t="s">
        <v>242</v>
      </c>
      <c r="E17" s="221" t="s">
        <v>242</v>
      </c>
    </row>
    <row r="18" spans="1:5">
      <c r="A18" s="93" t="s">
        <v>103</v>
      </c>
      <c r="B18" s="102" t="s">
        <v>242</v>
      </c>
      <c r="C18" s="221" t="s">
        <v>242</v>
      </c>
      <c r="D18" s="102" t="s">
        <v>242</v>
      </c>
      <c r="E18" s="221" t="s">
        <v>242</v>
      </c>
    </row>
    <row r="19" spans="1:5">
      <c r="A19" s="93" t="s">
        <v>410</v>
      </c>
      <c r="B19" s="102" t="s">
        <v>242</v>
      </c>
      <c r="C19" s="221" t="s">
        <v>242</v>
      </c>
      <c r="D19" s="102" t="s">
        <v>242</v>
      </c>
      <c r="E19" s="221" t="s">
        <v>242</v>
      </c>
    </row>
    <row r="20" spans="1:5">
      <c r="A20" s="93" t="s">
        <v>412</v>
      </c>
      <c r="B20" s="102" t="s">
        <v>242</v>
      </c>
      <c r="C20" s="221" t="s">
        <v>242</v>
      </c>
      <c r="D20" s="102" t="s">
        <v>242</v>
      </c>
      <c r="E20" s="221" t="s">
        <v>242</v>
      </c>
    </row>
    <row r="21" spans="1:5" ht="16.2" thickBot="1">
      <c r="A21" s="95"/>
      <c r="B21" s="77"/>
      <c r="C21" s="269"/>
      <c r="D21" s="77"/>
      <c r="E21" s="269"/>
    </row>
    <row r="22" spans="1:5" ht="16.2" thickBot="1">
      <c r="A22" s="96" t="s">
        <v>422</v>
      </c>
      <c r="B22" s="104" t="s">
        <v>242</v>
      </c>
      <c r="C22" s="270" t="s">
        <v>242</v>
      </c>
      <c r="D22" s="104" t="s">
        <v>242</v>
      </c>
      <c r="E22" s="270" t="s">
        <v>242</v>
      </c>
    </row>
    <row r="23" spans="1:5">
      <c r="A23" s="97"/>
      <c r="B23" s="87"/>
      <c r="C23" s="87"/>
      <c r="D23" s="87"/>
      <c r="E23" s="87"/>
    </row>
    <row r="24" spans="1:5">
      <c r="A24" s="97" t="s">
        <v>104</v>
      </c>
      <c r="B24" s="71"/>
      <c r="C24" s="71"/>
      <c r="D24" s="71"/>
      <c r="E24" s="71"/>
    </row>
    <row r="26" spans="1:5">
      <c r="A26" s="279"/>
      <c r="B26" s="279"/>
      <c r="C26" s="279"/>
      <c r="D26" s="279"/>
      <c r="E26" s="279"/>
    </row>
    <row r="29" spans="1:5">
      <c r="A29" s="583" t="s">
        <v>1027</v>
      </c>
      <c r="B29" s="583"/>
      <c r="C29" s="583"/>
      <c r="D29" s="583"/>
      <c r="E29" s="583"/>
    </row>
  </sheetData>
  <mergeCells count="7">
    <mergeCell ref="A29:E29"/>
    <mergeCell ref="B7:C7"/>
    <mergeCell ref="D7:E7"/>
    <mergeCell ref="A1:E1"/>
    <mergeCell ref="A2:E2"/>
    <mergeCell ref="A4:E4"/>
    <mergeCell ref="D5:E5"/>
  </mergeCells>
  <phoneticPr fontId="0" type="noConversion"/>
  <printOptions horizontalCentered="1"/>
  <pageMargins left="1" right="0.5" top="1" bottom="1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7"/>
  <dimension ref="A1:C38"/>
  <sheetViews>
    <sheetView view="pageBreakPreview" zoomScale="90" zoomScaleSheetLayoutView="90" workbookViewId="0">
      <selection activeCell="A47" sqref="A47"/>
    </sheetView>
  </sheetViews>
  <sheetFormatPr defaultColWidth="9.109375" defaultRowHeight="15.6"/>
  <cols>
    <col min="1" max="1" width="92.109375" style="69" customWidth="1"/>
    <col min="2" max="3" width="14.6640625" style="69" customWidth="1"/>
    <col min="4" max="16384" width="9.109375" style="69"/>
  </cols>
  <sheetData>
    <row r="1" spans="1:3">
      <c r="A1" s="597" t="s">
        <v>263</v>
      </c>
      <c r="B1" s="597"/>
      <c r="C1" s="597"/>
    </row>
    <row r="3" spans="1:3">
      <c r="A3" s="594" t="s">
        <v>1415</v>
      </c>
      <c r="B3" s="594"/>
      <c r="C3" s="594"/>
    </row>
    <row r="4" spans="1:3" ht="15.75" customHeight="1" thickBot="1">
      <c r="A4" s="88"/>
      <c r="B4" s="624" t="s">
        <v>1393</v>
      </c>
      <c r="C4" s="624"/>
    </row>
    <row r="5" spans="1:3" ht="16.2" thickBot="1">
      <c r="A5" s="96" t="s">
        <v>105</v>
      </c>
      <c r="B5" s="79" t="s">
        <v>420</v>
      </c>
      <c r="C5" s="79" t="s">
        <v>421</v>
      </c>
    </row>
    <row r="6" spans="1:3">
      <c r="A6" s="91"/>
      <c r="B6" s="73"/>
      <c r="C6" s="73"/>
    </row>
    <row r="7" spans="1:3">
      <c r="A7" s="93" t="s">
        <v>106</v>
      </c>
      <c r="B7" s="102" t="s">
        <v>242</v>
      </c>
      <c r="C7" s="102" t="s">
        <v>242</v>
      </c>
    </row>
    <row r="8" spans="1:3">
      <c r="A8" s="93"/>
      <c r="B8" s="122"/>
      <c r="C8" s="122"/>
    </row>
    <row r="9" spans="1:3">
      <c r="A9" s="93" t="s">
        <v>245</v>
      </c>
      <c r="B9" s="102" t="s">
        <v>242</v>
      </c>
      <c r="C9" s="102" t="s">
        <v>242</v>
      </c>
    </row>
    <row r="10" spans="1:3">
      <c r="A10" s="93"/>
      <c r="B10" s="122"/>
      <c r="C10" s="122"/>
    </row>
    <row r="11" spans="1:3">
      <c r="A11" s="93" t="s">
        <v>107</v>
      </c>
      <c r="B11" s="102" t="s">
        <v>242</v>
      </c>
      <c r="C11" s="102" t="s">
        <v>242</v>
      </c>
    </row>
    <row r="12" spans="1:3">
      <c r="A12" s="93"/>
      <c r="B12" s="122"/>
      <c r="C12" s="122"/>
    </row>
    <row r="13" spans="1:3">
      <c r="A13" s="93" t="s">
        <v>108</v>
      </c>
      <c r="B13" s="122"/>
      <c r="C13" s="122"/>
    </row>
    <row r="14" spans="1:3">
      <c r="A14" s="93" t="s">
        <v>109</v>
      </c>
      <c r="B14" s="102" t="s">
        <v>242</v>
      </c>
      <c r="C14" s="102" t="s">
        <v>242</v>
      </c>
    </row>
    <row r="15" spans="1:3">
      <c r="A15" s="93" t="s">
        <v>110</v>
      </c>
      <c r="B15" s="102" t="s">
        <v>242</v>
      </c>
      <c r="C15" s="102" t="s">
        <v>242</v>
      </c>
    </row>
    <row r="16" spans="1:3">
      <c r="A16" s="93"/>
      <c r="B16" s="102"/>
      <c r="C16" s="102"/>
    </row>
    <row r="17" spans="1:3">
      <c r="A17" s="93" t="s">
        <v>111</v>
      </c>
      <c r="B17" s="102" t="s">
        <v>242</v>
      </c>
      <c r="C17" s="102" t="s">
        <v>242</v>
      </c>
    </row>
    <row r="18" spans="1:3">
      <c r="A18" s="93" t="s">
        <v>112</v>
      </c>
      <c r="B18" s="122"/>
      <c r="C18" s="122"/>
    </row>
    <row r="19" spans="1:3">
      <c r="A19" s="93" t="s">
        <v>113</v>
      </c>
      <c r="B19" s="102" t="s">
        <v>242</v>
      </c>
      <c r="C19" s="102" t="s">
        <v>242</v>
      </c>
    </row>
    <row r="20" spans="1:3">
      <c r="A20" s="93"/>
      <c r="B20" s="122"/>
      <c r="C20" s="122"/>
    </row>
    <row r="21" spans="1:3">
      <c r="A21" s="93" t="s">
        <v>114</v>
      </c>
      <c r="B21" s="102" t="s">
        <v>242</v>
      </c>
      <c r="C21" s="102" t="s">
        <v>242</v>
      </c>
    </row>
    <row r="22" spans="1:3">
      <c r="A22" s="93"/>
      <c r="B22" s="122"/>
      <c r="C22" s="122"/>
    </row>
    <row r="23" spans="1:3">
      <c r="A23" s="93" t="s">
        <v>115</v>
      </c>
      <c r="B23" s="102" t="s">
        <v>242</v>
      </c>
      <c r="C23" s="102" t="s">
        <v>242</v>
      </c>
    </row>
    <row r="24" spans="1:3" ht="16.2" thickBot="1">
      <c r="A24" s="95"/>
      <c r="B24" s="77"/>
      <c r="C24" s="77"/>
    </row>
    <row r="25" spans="1:3" ht="16.2" thickBot="1">
      <c r="A25" s="96" t="s">
        <v>422</v>
      </c>
      <c r="B25" s="104" t="s">
        <v>242</v>
      </c>
      <c r="C25" s="104" t="s">
        <v>242</v>
      </c>
    </row>
    <row r="26" spans="1:3">
      <c r="A26" s="71"/>
      <c r="B26" s="71"/>
      <c r="C26" s="71"/>
    </row>
    <row r="27" spans="1:3">
      <c r="A27" s="97" t="s">
        <v>104</v>
      </c>
      <c r="B27" s="71"/>
      <c r="C27" s="71"/>
    </row>
    <row r="28" spans="1:3" ht="16.2" thickBot="1">
      <c r="A28" s="71"/>
      <c r="B28" s="71"/>
      <c r="C28" s="71"/>
    </row>
    <row r="29" spans="1:3" ht="16.2" thickBot="1">
      <c r="A29" s="96" t="s">
        <v>116</v>
      </c>
      <c r="B29" s="79" t="s">
        <v>420</v>
      </c>
      <c r="C29" s="79" t="s">
        <v>421</v>
      </c>
    </row>
    <row r="30" spans="1:3">
      <c r="A30" s="91"/>
      <c r="B30" s="73"/>
      <c r="C30" s="73"/>
    </row>
    <row r="31" spans="1:3">
      <c r="A31" s="93" t="s">
        <v>409</v>
      </c>
      <c r="B31" s="102" t="s">
        <v>242</v>
      </c>
      <c r="C31" s="102" t="s">
        <v>242</v>
      </c>
    </row>
    <row r="32" spans="1:3">
      <c r="A32" s="93" t="s">
        <v>117</v>
      </c>
      <c r="B32" s="102" t="s">
        <v>242</v>
      </c>
      <c r="C32" s="102" t="s">
        <v>242</v>
      </c>
    </row>
    <row r="33" spans="1:3" ht="16.2" thickBot="1">
      <c r="A33" s="95"/>
      <c r="B33" s="77"/>
      <c r="C33" s="77"/>
    </row>
    <row r="34" spans="1:3" ht="16.2" thickBot="1">
      <c r="A34" s="96" t="s">
        <v>422</v>
      </c>
      <c r="B34" s="104" t="s">
        <v>242</v>
      </c>
      <c r="C34" s="104" t="s">
        <v>242</v>
      </c>
    </row>
    <row r="35" spans="1:3">
      <c r="A35" s="71"/>
      <c r="B35" s="71"/>
      <c r="C35" s="71"/>
    </row>
    <row r="36" spans="1:3">
      <c r="A36" s="97" t="s">
        <v>118</v>
      </c>
      <c r="B36" s="71"/>
      <c r="C36" s="71"/>
    </row>
    <row r="38" spans="1:3">
      <c r="A38" s="583" t="s">
        <v>1028</v>
      </c>
      <c r="B38" s="583"/>
      <c r="C38" s="583"/>
    </row>
  </sheetData>
  <mergeCells count="4">
    <mergeCell ref="A1:C1"/>
    <mergeCell ref="A3:C3"/>
    <mergeCell ref="B4:C4"/>
    <mergeCell ref="A38:C38"/>
  </mergeCells>
  <phoneticPr fontId="0" type="noConversion"/>
  <printOptions horizontalCentered="1"/>
  <pageMargins left="1" right="0.5" top="0.28999999999999998" bottom="0.23" header="0" footer="0"/>
  <pageSetup paperSize="9" scale="9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6">
    <tabColor rgb="FFFF0000"/>
  </sheetPr>
  <dimension ref="A1:G135"/>
  <sheetViews>
    <sheetView view="pageBreakPreview" topLeftCell="A109" zoomScaleSheetLayoutView="100" workbookViewId="0">
      <selection activeCell="C80" sqref="C80"/>
    </sheetView>
  </sheetViews>
  <sheetFormatPr defaultColWidth="9.109375" defaultRowHeight="15.6"/>
  <cols>
    <col min="1" max="1" width="72.33203125" style="57" customWidth="1"/>
    <col min="2" max="2" width="14.6640625" style="65" bestFit="1" customWidth="1"/>
    <col min="3" max="3" width="12.88671875" style="57" customWidth="1"/>
    <col min="4" max="4" width="12.6640625" style="65" customWidth="1"/>
    <col min="5" max="5" width="13.44140625" style="57" customWidth="1"/>
    <col min="6" max="6" width="15.44140625" style="57" customWidth="1"/>
    <col min="7" max="7" width="10.5546875" style="57" bestFit="1" customWidth="1"/>
    <col min="8" max="16384" width="9.109375" style="57"/>
  </cols>
  <sheetData>
    <row r="1" spans="1:5">
      <c r="A1" s="629" t="s">
        <v>262</v>
      </c>
      <c r="B1" s="629"/>
      <c r="C1" s="629"/>
      <c r="D1" s="629"/>
      <c r="E1" s="629"/>
    </row>
    <row r="2" spans="1:5">
      <c r="A2" s="498"/>
      <c r="B2" s="120"/>
      <c r="C2" s="498"/>
      <c r="D2" s="120"/>
      <c r="E2" s="498"/>
    </row>
    <row r="3" spans="1:5">
      <c r="A3" s="630" t="s">
        <v>1415</v>
      </c>
      <c r="B3" s="630"/>
      <c r="C3" s="630"/>
      <c r="D3" s="630"/>
      <c r="E3" s="630"/>
    </row>
    <row r="4" spans="1:5">
      <c r="A4" s="499"/>
      <c r="B4" s="121"/>
      <c r="C4" s="499"/>
      <c r="D4" s="121"/>
      <c r="E4" s="499"/>
    </row>
    <row r="5" spans="1:5" ht="16.2" thickBot="1">
      <c r="D5" s="624" t="s">
        <v>1393</v>
      </c>
      <c r="E5" s="624"/>
    </row>
    <row r="6" spans="1:5" ht="16.2" thickBot="1">
      <c r="A6" s="107" t="s">
        <v>124</v>
      </c>
      <c r="B6" s="626" t="s">
        <v>420</v>
      </c>
      <c r="C6" s="627"/>
      <c r="D6" s="628" t="s">
        <v>421</v>
      </c>
      <c r="E6" s="593"/>
    </row>
    <row r="7" spans="1:5">
      <c r="A7" s="288" t="s">
        <v>517</v>
      </c>
      <c r="B7" s="194"/>
      <c r="C7" s="203"/>
      <c r="D7" s="352"/>
      <c r="E7" s="188"/>
    </row>
    <row r="8" spans="1:5">
      <c r="A8" s="113" t="s">
        <v>385</v>
      </c>
      <c r="B8" s="114" t="s">
        <v>242</v>
      </c>
      <c r="C8" s="191" t="s">
        <v>242</v>
      </c>
      <c r="D8" s="191" t="s">
        <v>242</v>
      </c>
      <c r="E8" s="191" t="s">
        <v>242</v>
      </c>
    </row>
    <row r="9" spans="1:5">
      <c r="A9" s="113" t="s">
        <v>386</v>
      </c>
      <c r="B9" s="108"/>
      <c r="C9" s="189"/>
      <c r="D9" s="189"/>
      <c r="E9" s="189"/>
    </row>
    <row r="10" spans="1:5">
      <c r="A10" s="113" t="s">
        <v>387</v>
      </c>
      <c r="B10" s="114" t="s">
        <v>242</v>
      </c>
      <c r="C10" s="191" t="s">
        <v>242</v>
      </c>
      <c r="D10" s="191" t="s">
        <v>242</v>
      </c>
      <c r="E10" s="191" t="s">
        <v>242</v>
      </c>
    </row>
    <row r="11" spans="1:5">
      <c r="A11" s="113" t="s">
        <v>388</v>
      </c>
      <c r="B11" s="114" t="s">
        <v>242</v>
      </c>
      <c r="C11" s="191" t="s">
        <v>242</v>
      </c>
      <c r="D11" s="191" t="s">
        <v>242</v>
      </c>
      <c r="E11" s="191" t="s">
        <v>242</v>
      </c>
    </row>
    <row r="12" spans="1:5">
      <c r="A12" s="113" t="s">
        <v>389</v>
      </c>
      <c r="B12" s="114" t="s">
        <v>242</v>
      </c>
      <c r="C12" s="191" t="s">
        <v>242</v>
      </c>
      <c r="D12" s="191" t="s">
        <v>242</v>
      </c>
      <c r="E12" s="191" t="s">
        <v>242</v>
      </c>
    </row>
    <row r="13" spans="1:5">
      <c r="A13" s="113" t="s">
        <v>390</v>
      </c>
      <c r="B13" s="108"/>
      <c r="C13" s="189"/>
      <c r="D13" s="189"/>
      <c r="E13" s="189"/>
    </row>
    <row r="14" spans="1:5">
      <c r="A14" s="113" t="s">
        <v>392</v>
      </c>
      <c r="B14" s="114" t="s">
        <v>242</v>
      </c>
      <c r="C14" s="191" t="s">
        <v>242</v>
      </c>
      <c r="D14" s="191" t="s">
        <v>242</v>
      </c>
      <c r="E14" s="191" t="s">
        <v>242</v>
      </c>
    </row>
    <row r="15" spans="1:5">
      <c r="A15" s="113" t="s">
        <v>393</v>
      </c>
      <c r="B15" s="114" t="s">
        <v>242</v>
      </c>
      <c r="C15" s="191" t="s">
        <v>242</v>
      </c>
      <c r="D15" s="191" t="s">
        <v>242</v>
      </c>
      <c r="E15" s="191" t="s">
        <v>242</v>
      </c>
    </row>
    <row r="16" spans="1:5">
      <c r="A16" s="113" t="s">
        <v>391</v>
      </c>
      <c r="B16" s="108"/>
      <c r="C16" s="189"/>
      <c r="D16" s="189"/>
      <c r="E16" s="189"/>
    </row>
    <row r="17" spans="1:5">
      <c r="A17" s="113" t="s">
        <v>394</v>
      </c>
      <c r="B17" s="114" t="s">
        <v>242</v>
      </c>
      <c r="C17" s="191" t="s">
        <v>242</v>
      </c>
      <c r="D17" s="191" t="s">
        <v>242</v>
      </c>
      <c r="E17" s="191" t="s">
        <v>242</v>
      </c>
    </row>
    <row r="18" spans="1:5">
      <c r="A18" s="113" t="s">
        <v>395</v>
      </c>
      <c r="B18" s="58">
        <v>24530</v>
      </c>
      <c r="C18" s="191"/>
      <c r="D18" s="190"/>
      <c r="E18" s="191"/>
    </row>
    <row r="19" spans="1:5">
      <c r="A19" s="113" t="s">
        <v>396</v>
      </c>
      <c r="B19" s="58">
        <v>1489459</v>
      </c>
      <c r="C19" s="114" t="s">
        <v>242</v>
      </c>
      <c r="D19" s="190">
        <v>1107656</v>
      </c>
      <c r="E19" s="114" t="s">
        <v>242</v>
      </c>
    </row>
    <row r="20" spans="1:5">
      <c r="A20" s="113" t="s">
        <v>397</v>
      </c>
      <c r="B20" s="58">
        <v>1800</v>
      </c>
      <c r="C20" s="80" t="s">
        <v>242</v>
      </c>
      <c r="D20" s="80" t="s">
        <v>242</v>
      </c>
      <c r="E20" s="80" t="s">
        <v>242</v>
      </c>
    </row>
    <row r="21" spans="1:5">
      <c r="A21" s="455" t="s">
        <v>398</v>
      </c>
      <c r="B21" s="58">
        <v>3170</v>
      </c>
      <c r="C21" s="114" t="s">
        <v>242</v>
      </c>
      <c r="D21" s="190">
        <v>3170</v>
      </c>
      <c r="E21" s="114" t="s">
        <v>242</v>
      </c>
    </row>
    <row r="22" spans="1:5">
      <c r="A22" s="284" t="s">
        <v>399</v>
      </c>
      <c r="B22" s="58">
        <v>32968</v>
      </c>
      <c r="C22" s="114" t="s">
        <v>242</v>
      </c>
      <c r="D22" s="190">
        <v>32968</v>
      </c>
      <c r="E22" s="114" t="s">
        <v>242</v>
      </c>
    </row>
    <row r="23" spans="1:5">
      <c r="A23" s="284" t="s">
        <v>1421</v>
      </c>
      <c r="B23" s="58">
        <v>7997</v>
      </c>
      <c r="C23" s="114" t="s">
        <v>242</v>
      </c>
      <c r="D23" s="114" t="s">
        <v>242</v>
      </c>
      <c r="E23" s="114" t="s">
        <v>242</v>
      </c>
    </row>
    <row r="24" spans="1:5">
      <c r="A24" s="284" t="s">
        <v>1422</v>
      </c>
      <c r="B24" s="58">
        <v>14979</v>
      </c>
      <c r="C24" s="114" t="s">
        <v>242</v>
      </c>
      <c r="D24" s="114" t="s">
        <v>242</v>
      </c>
      <c r="E24" s="114" t="s">
        <v>242</v>
      </c>
    </row>
    <row r="25" spans="1:5">
      <c r="A25" s="113" t="s">
        <v>400</v>
      </c>
      <c r="B25" s="58"/>
      <c r="C25" s="114"/>
      <c r="D25" s="191"/>
      <c r="E25" s="114"/>
    </row>
    <row r="26" spans="1:5">
      <c r="A26" s="113" t="s">
        <v>559</v>
      </c>
      <c r="B26" s="58">
        <v>69936688.5</v>
      </c>
      <c r="C26" s="114" t="s">
        <v>242</v>
      </c>
      <c r="D26" s="190">
        <v>69936688.5</v>
      </c>
      <c r="E26" s="114" t="s">
        <v>242</v>
      </c>
    </row>
    <row r="27" spans="1:5">
      <c r="A27" s="113" t="s">
        <v>560</v>
      </c>
      <c r="B27" s="58">
        <v>58000</v>
      </c>
      <c r="C27" s="114" t="s">
        <v>242</v>
      </c>
      <c r="D27" s="190">
        <v>58000</v>
      </c>
      <c r="E27" s="114" t="s">
        <v>242</v>
      </c>
    </row>
    <row r="28" spans="1:5">
      <c r="A28" s="283" t="s">
        <v>677</v>
      </c>
      <c r="B28" s="80" t="s">
        <v>242</v>
      </c>
      <c r="C28" s="114" t="s">
        <v>242</v>
      </c>
      <c r="D28" s="191" t="s">
        <v>242</v>
      </c>
      <c r="E28" s="114" t="s">
        <v>242</v>
      </c>
    </row>
    <row r="29" spans="1:5">
      <c r="A29" s="283" t="s">
        <v>678</v>
      </c>
      <c r="B29" s="80" t="s">
        <v>242</v>
      </c>
      <c r="C29" s="114" t="s">
        <v>242</v>
      </c>
      <c r="D29" s="449">
        <v>24530</v>
      </c>
      <c r="E29" s="114" t="s">
        <v>242</v>
      </c>
    </row>
    <row r="30" spans="1:5">
      <c r="A30" s="283" t="s">
        <v>1150</v>
      </c>
      <c r="B30" s="80" t="s">
        <v>242</v>
      </c>
      <c r="C30" s="114" t="s">
        <v>242</v>
      </c>
      <c r="D30" s="191" t="s">
        <v>242</v>
      </c>
      <c r="E30" s="114" t="s">
        <v>242</v>
      </c>
    </row>
    <row r="31" spans="1:5">
      <c r="A31" s="283" t="s">
        <v>1341</v>
      </c>
      <c r="B31" s="58">
        <v>7755613</v>
      </c>
      <c r="C31" s="191" t="s">
        <v>242</v>
      </c>
      <c r="D31" s="190">
        <v>6747306</v>
      </c>
      <c r="E31" s="191" t="s">
        <v>242</v>
      </c>
    </row>
    <row r="32" spans="1:5">
      <c r="A32" s="283" t="s">
        <v>1342</v>
      </c>
      <c r="B32" s="58">
        <v>2995218</v>
      </c>
      <c r="C32" s="191" t="s">
        <v>242</v>
      </c>
      <c r="D32" s="190">
        <f>3300106+1188834</f>
        <v>4488940</v>
      </c>
      <c r="E32" s="191" t="s">
        <v>242</v>
      </c>
    </row>
    <row r="33" spans="1:7">
      <c r="A33" s="283" t="s">
        <v>1343</v>
      </c>
      <c r="B33" s="58">
        <v>57802</v>
      </c>
      <c r="C33" s="191" t="s">
        <v>242</v>
      </c>
      <c r="D33" s="190">
        <f>723553+58228</f>
        <v>781781</v>
      </c>
      <c r="E33" s="191" t="s">
        <v>242</v>
      </c>
    </row>
    <row r="34" spans="1:7">
      <c r="A34" s="283" t="s">
        <v>1344</v>
      </c>
      <c r="B34" s="58">
        <v>2924512</v>
      </c>
      <c r="C34" s="191" t="s">
        <v>242</v>
      </c>
      <c r="D34" s="190">
        <v>2046146</v>
      </c>
      <c r="E34" s="191" t="s">
        <v>242</v>
      </c>
    </row>
    <row r="35" spans="1:7">
      <c r="A35" s="283" t="s">
        <v>1345</v>
      </c>
      <c r="B35" s="80" t="s">
        <v>242</v>
      </c>
      <c r="C35" s="191" t="s">
        <v>242</v>
      </c>
      <c r="D35" s="191" t="s">
        <v>242</v>
      </c>
      <c r="E35" s="191" t="s">
        <v>242</v>
      </c>
      <c r="F35" s="65"/>
      <c r="G35" s="65" t="s">
        <v>112</v>
      </c>
    </row>
    <row r="36" spans="1:7" ht="16.2" thickBot="1">
      <c r="A36" s="351" t="s">
        <v>1346</v>
      </c>
      <c r="B36" s="61">
        <v>6449577</v>
      </c>
      <c r="C36" s="202" t="s">
        <v>242</v>
      </c>
      <c r="D36" s="439">
        <v>11556673</v>
      </c>
      <c r="E36" s="202" t="s">
        <v>242</v>
      </c>
    </row>
    <row r="37" spans="1:7">
      <c r="A37" s="123"/>
      <c r="C37" s="493"/>
      <c r="D37" s="625" t="s">
        <v>1390</v>
      </c>
      <c r="E37" s="625"/>
    </row>
    <row r="38" spans="1:7">
      <c r="A38" s="621" t="s">
        <v>1029</v>
      </c>
      <c r="B38" s="621"/>
      <c r="C38" s="621"/>
      <c r="D38" s="621"/>
      <c r="E38" s="621"/>
    </row>
    <row r="39" spans="1:7">
      <c r="A39" s="629" t="s">
        <v>262</v>
      </c>
      <c r="B39" s="629"/>
      <c r="C39" s="629"/>
      <c r="D39" s="629"/>
      <c r="E39" s="629"/>
    </row>
    <row r="40" spans="1:7">
      <c r="A40" s="498"/>
      <c r="B40" s="120"/>
      <c r="C40" s="498"/>
      <c r="D40" s="120"/>
      <c r="E40" s="498"/>
    </row>
    <row r="41" spans="1:7">
      <c r="A41" s="630" t="s">
        <v>1415</v>
      </c>
      <c r="B41" s="630"/>
      <c r="C41" s="630"/>
      <c r="D41" s="630"/>
      <c r="E41" s="630"/>
    </row>
    <row r="42" spans="1:7">
      <c r="A42" s="499"/>
      <c r="B42" s="121"/>
      <c r="C42" s="499"/>
      <c r="D42" s="121"/>
      <c r="E42" s="499"/>
    </row>
    <row r="43" spans="1:7" ht="16.2" thickBot="1">
      <c r="D43" s="624" t="s">
        <v>1393</v>
      </c>
      <c r="E43" s="624"/>
    </row>
    <row r="44" spans="1:7" ht="16.2" thickBot="1">
      <c r="A44" s="161" t="s">
        <v>258</v>
      </c>
      <c r="B44" s="636" t="s">
        <v>420</v>
      </c>
      <c r="C44" s="633"/>
      <c r="D44" s="637" t="s">
        <v>421</v>
      </c>
      <c r="E44" s="635"/>
    </row>
    <row r="45" spans="1:7">
      <c r="A45" s="454" t="s">
        <v>1347</v>
      </c>
      <c r="B45" s="194">
        <f>11573720-136500</f>
        <v>11437220</v>
      </c>
      <c r="C45" s="197" t="s">
        <v>242</v>
      </c>
      <c r="D45" s="352">
        <v>109700</v>
      </c>
      <c r="E45" s="197" t="s">
        <v>242</v>
      </c>
    </row>
    <row r="46" spans="1:7">
      <c r="A46" s="283" t="s">
        <v>679</v>
      </c>
      <c r="B46" s="58">
        <v>40304</v>
      </c>
      <c r="C46" s="114" t="s">
        <v>242</v>
      </c>
      <c r="D46" s="190">
        <f>33178+111484</f>
        <v>144662</v>
      </c>
      <c r="E46" s="114" t="s">
        <v>242</v>
      </c>
    </row>
    <row r="47" spans="1:7">
      <c r="A47" s="283" t="s">
        <v>1348</v>
      </c>
      <c r="B47" s="58">
        <v>658632</v>
      </c>
      <c r="C47" s="114" t="s">
        <v>242</v>
      </c>
      <c r="D47" s="190">
        <v>4670</v>
      </c>
      <c r="E47" s="114" t="s">
        <v>242</v>
      </c>
    </row>
    <row r="48" spans="1:7">
      <c r="A48" s="283" t="s">
        <v>1349</v>
      </c>
      <c r="B48" s="58">
        <v>7987</v>
      </c>
      <c r="C48" s="114" t="s">
        <v>242</v>
      </c>
      <c r="D48" s="190">
        <v>7987</v>
      </c>
      <c r="E48" s="114" t="s">
        <v>242</v>
      </c>
      <c r="F48" s="66" t="s">
        <v>112</v>
      </c>
      <c r="G48" s="65" t="s">
        <v>112</v>
      </c>
    </row>
    <row r="49" spans="1:7">
      <c r="A49" s="283" t="s">
        <v>1350</v>
      </c>
      <c r="B49" s="114" t="s">
        <v>242</v>
      </c>
      <c r="C49" s="114" t="s">
        <v>242</v>
      </c>
      <c r="D49" s="449">
        <v>-252724</v>
      </c>
      <c r="E49" s="114" t="s">
        <v>242</v>
      </c>
      <c r="F49" s="57" t="s">
        <v>112</v>
      </c>
      <c r="G49" s="65"/>
    </row>
    <row r="50" spans="1:7">
      <c r="A50" s="283" t="s">
        <v>1351</v>
      </c>
      <c r="B50" s="58">
        <f>480736.02+91679</f>
        <v>572415.02</v>
      </c>
      <c r="C50" s="114" t="s">
        <v>242</v>
      </c>
      <c r="D50" s="190">
        <f>480736.02</f>
        <v>480736.02</v>
      </c>
      <c r="E50" s="114" t="s">
        <v>242</v>
      </c>
      <c r="F50" s="65"/>
    </row>
    <row r="51" spans="1:7">
      <c r="A51" s="113" t="s">
        <v>1434</v>
      </c>
      <c r="B51" s="58">
        <f>8057416</f>
        <v>8057416</v>
      </c>
      <c r="C51" s="114" t="s">
        <v>242</v>
      </c>
      <c r="D51" s="191" t="s">
        <v>242</v>
      </c>
      <c r="E51" s="114" t="s">
        <v>242</v>
      </c>
    </row>
    <row r="52" spans="1:7">
      <c r="A52" s="113" t="s">
        <v>1352</v>
      </c>
      <c r="B52" s="114" t="s">
        <v>242</v>
      </c>
      <c r="C52" s="114" t="s">
        <v>242</v>
      </c>
      <c r="D52" s="191" t="s">
        <v>242</v>
      </c>
      <c r="E52" s="114" t="s">
        <v>242</v>
      </c>
    </row>
    <row r="53" spans="1:7">
      <c r="A53" s="113" t="s">
        <v>1353</v>
      </c>
      <c r="B53" s="58">
        <v>6922096</v>
      </c>
      <c r="C53" s="114" t="s">
        <v>242</v>
      </c>
      <c r="D53" s="190">
        <v>6466456</v>
      </c>
      <c r="E53" s="114" t="s">
        <v>242</v>
      </c>
    </row>
    <row r="54" spans="1:7">
      <c r="A54" s="113" t="s">
        <v>1354</v>
      </c>
      <c r="B54" s="114" t="s">
        <v>242</v>
      </c>
      <c r="C54" s="114" t="s">
        <v>242</v>
      </c>
      <c r="D54" s="449">
        <v>26745</v>
      </c>
      <c r="E54" s="114" t="s">
        <v>242</v>
      </c>
      <c r="F54" s="65"/>
    </row>
    <row r="55" spans="1:7">
      <c r="A55" s="113" t="s">
        <v>1355</v>
      </c>
      <c r="B55" s="58">
        <v>8410</v>
      </c>
      <c r="C55" s="114" t="s">
        <v>242</v>
      </c>
      <c r="D55" s="191" t="s">
        <v>242</v>
      </c>
      <c r="E55" s="114" t="s">
        <v>242</v>
      </c>
    </row>
    <row r="56" spans="1:7">
      <c r="A56" s="113" t="s">
        <v>1356</v>
      </c>
      <c r="B56" s="58">
        <f>15000+4433601</f>
        <v>4448601</v>
      </c>
      <c r="C56" s="114" t="s">
        <v>242</v>
      </c>
      <c r="D56" s="190">
        <f>15000+33803</f>
        <v>48803</v>
      </c>
      <c r="E56" s="114" t="s">
        <v>242</v>
      </c>
    </row>
    <row r="57" spans="1:7">
      <c r="A57" s="113" t="s">
        <v>1357</v>
      </c>
      <c r="B57" s="58">
        <v>2198405</v>
      </c>
      <c r="C57" s="114" t="s">
        <v>242</v>
      </c>
      <c r="D57" s="191" t="s">
        <v>242</v>
      </c>
      <c r="E57" s="114" t="s">
        <v>242</v>
      </c>
      <c r="F57" s="65"/>
    </row>
    <row r="58" spans="1:7">
      <c r="A58" s="113" t="s">
        <v>1358</v>
      </c>
      <c r="B58" s="114" t="s">
        <v>242</v>
      </c>
      <c r="C58" s="114" t="s">
        <v>242</v>
      </c>
      <c r="D58" s="190">
        <v>315936</v>
      </c>
      <c r="E58" s="114" t="s">
        <v>242</v>
      </c>
    </row>
    <row r="59" spans="1:7">
      <c r="A59" s="113" t="s">
        <v>1359</v>
      </c>
      <c r="B59" s="58">
        <v>7003156</v>
      </c>
      <c r="C59" s="114" t="s">
        <v>242</v>
      </c>
      <c r="D59" s="190">
        <v>9345</v>
      </c>
      <c r="E59" s="114" t="s">
        <v>242</v>
      </c>
    </row>
    <row r="60" spans="1:7">
      <c r="A60" s="113" t="s">
        <v>1360</v>
      </c>
      <c r="B60" s="58">
        <v>272380</v>
      </c>
      <c r="C60" s="114" t="s">
        <v>242</v>
      </c>
      <c r="D60" s="191" t="s">
        <v>242</v>
      </c>
      <c r="E60" s="114" t="s">
        <v>242</v>
      </c>
    </row>
    <row r="61" spans="1:7">
      <c r="A61" s="113" t="s">
        <v>1361</v>
      </c>
      <c r="B61" s="58">
        <v>150905</v>
      </c>
      <c r="C61" s="114" t="s">
        <v>242</v>
      </c>
      <c r="D61" s="190">
        <v>102959</v>
      </c>
      <c r="E61" s="114" t="s">
        <v>242</v>
      </c>
    </row>
    <row r="62" spans="1:7" ht="16.2" thickBot="1">
      <c r="A62" s="290" t="s">
        <v>1362</v>
      </c>
      <c r="B62" s="204" t="s">
        <v>242</v>
      </c>
      <c r="C62" s="204" t="s">
        <v>242</v>
      </c>
      <c r="D62" s="439">
        <v>938027</v>
      </c>
      <c r="E62" s="204" t="s">
        <v>242</v>
      </c>
    </row>
    <row r="63" spans="1:7">
      <c r="A63" s="123"/>
      <c r="C63" s="493"/>
      <c r="D63" s="625" t="s">
        <v>1391</v>
      </c>
      <c r="E63" s="625"/>
    </row>
    <row r="64" spans="1:7">
      <c r="A64" s="621" t="s">
        <v>1394</v>
      </c>
      <c r="B64" s="621"/>
      <c r="C64" s="621"/>
      <c r="D64" s="621"/>
      <c r="E64" s="621"/>
    </row>
    <row r="65" spans="1:5">
      <c r="A65" s="629" t="s">
        <v>262</v>
      </c>
      <c r="B65" s="629"/>
      <c r="C65" s="629"/>
      <c r="D65" s="629"/>
      <c r="E65" s="629"/>
    </row>
    <row r="66" spans="1:5">
      <c r="A66" s="498"/>
      <c r="B66" s="120"/>
      <c r="C66" s="498"/>
      <c r="D66" s="120"/>
      <c r="E66" s="498"/>
    </row>
    <row r="67" spans="1:5">
      <c r="A67" s="630" t="s">
        <v>1415</v>
      </c>
      <c r="B67" s="630"/>
      <c r="C67" s="630"/>
      <c r="D67" s="630"/>
      <c r="E67" s="630"/>
    </row>
    <row r="68" spans="1:5">
      <c r="A68" s="499"/>
      <c r="B68" s="121"/>
      <c r="C68" s="499"/>
      <c r="D68" s="121"/>
      <c r="E68" s="499"/>
    </row>
    <row r="69" spans="1:5" ht="16.2" thickBot="1">
      <c r="D69" s="624" t="s">
        <v>1393</v>
      </c>
      <c r="E69" s="624"/>
    </row>
    <row r="70" spans="1:5" ht="16.2" thickBot="1">
      <c r="A70" s="161" t="s">
        <v>258</v>
      </c>
      <c r="B70" s="632" t="s">
        <v>420</v>
      </c>
      <c r="C70" s="633"/>
      <c r="D70" s="634" t="s">
        <v>421</v>
      </c>
      <c r="E70" s="635"/>
    </row>
    <row r="71" spans="1:5">
      <c r="A71" s="111" t="s">
        <v>1363</v>
      </c>
      <c r="B71" s="194">
        <v>1340000</v>
      </c>
      <c r="C71" s="114" t="s">
        <v>242</v>
      </c>
      <c r="D71" s="453">
        <v>1180000</v>
      </c>
      <c r="E71" s="114" t="s">
        <v>242</v>
      </c>
    </row>
    <row r="72" spans="1:5">
      <c r="A72" s="108" t="s">
        <v>1364</v>
      </c>
      <c r="B72" s="191" t="s">
        <v>242</v>
      </c>
      <c r="C72" s="114" t="s">
        <v>242</v>
      </c>
      <c r="D72" s="191" t="s">
        <v>242</v>
      </c>
      <c r="E72" s="114" t="s">
        <v>242</v>
      </c>
    </row>
    <row r="73" spans="1:5">
      <c r="A73" s="108" t="s">
        <v>1365</v>
      </c>
      <c r="B73" s="190">
        <v>221562</v>
      </c>
      <c r="C73" s="114" t="s">
        <v>242</v>
      </c>
      <c r="D73" s="407">
        <v>86396</v>
      </c>
      <c r="E73" s="114" t="s">
        <v>242</v>
      </c>
    </row>
    <row r="74" spans="1:5">
      <c r="A74" s="113" t="s">
        <v>1366</v>
      </c>
      <c r="B74" s="58">
        <f>1080913+1289412</f>
        <v>2370325</v>
      </c>
      <c r="C74" s="114" t="s">
        <v>242</v>
      </c>
      <c r="D74" s="412">
        <f>1070113+10800</f>
        <v>1080913</v>
      </c>
      <c r="E74" s="114" t="s">
        <v>242</v>
      </c>
    </row>
    <row r="75" spans="1:5">
      <c r="A75" s="113" t="s">
        <v>1367</v>
      </c>
      <c r="B75" s="114" t="s">
        <v>242</v>
      </c>
      <c r="C75" s="114" t="s">
        <v>242</v>
      </c>
      <c r="D75" s="407">
        <v>920</v>
      </c>
      <c r="E75" s="114" t="s">
        <v>242</v>
      </c>
    </row>
    <row r="76" spans="1:5">
      <c r="A76" s="113" t="s">
        <v>1368</v>
      </c>
      <c r="B76" s="114" t="s">
        <v>242</v>
      </c>
      <c r="C76" s="114" t="s">
        <v>242</v>
      </c>
      <c r="D76" s="191" t="s">
        <v>242</v>
      </c>
      <c r="E76" s="114" t="s">
        <v>242</v>
      </c>
    </row>
    <row r="77" spans="1:5">
      <c r="A77" s="113" t="s">
        <v>1369</v>
      </c>
      <c r="B77" s="58">
        <v>2916</v>
      </c>
      <c r="C77" s="114" t="s">
        <v>242</v>
      </c>
      <c r="D77" s="407">
        <v>2916</v>
      </c>
      <c r="E77" s="114" t="s">
        <v>242</v>
      </c>
    </row>
    <row r="78" spans="1:5">
      <c r="A78" s="113" t="s">
        <v>1370</v>
      </c>
      <c r="B78" s="58">
        <v>60000</v>
      </c>
      <c r="C78" s="114" t="s">
        <v>242</v>
      </c>
      <c r="D78" s="407">
        <v>89554</v>
      </c>
      <c r="E78" s="114" t="s">
        <v>242</v>
      </c>
    </row>
    <row r="79" spans="1:5">
      <c r="A79" s="113" t="s">
        <v>1371</v>
      </c>
      <c r="B79" s="58">
        <v>189529</v>
      </c>
      <c r="C79" s="114" t="s">
        <v>242</v>
      </c>
      <c r="D79" s="191" t="s">
        <v>242</v>
      </c>
      <c r="E79" s="114" t="s">
        <v>242</v>
      </c>
    </row>
    <row r="80" spans="1:5">
      <c r="A80" s="108" t="s">
        <v>1372</v>
      </c>
      <c r="B80" s="191" t="s">
        <v>242</v>
      </c>
      <c r="C80" s="114" t="s">
        <v>242</v>
      </c>
      <c r="D80" s="191" t="s">
        <v>242</v>
      </c>
      <c r="E80" s="114" t="s">
        <v>242</v>
      </c>
    </row>
    <row r="81" spans="1:5">
      <c r="A81" s="108" t="s">
        <v>1373</v>
      </c>
      <c r="B81" s="191" t="s">
        <v>242</v>
      </c>
      <c r="C81" s="114" t="s">
        <v>242</v>
      </c>
      <c r="D81" s="191" t="s">
        <v>242</v>
      </c>
      <c r="E81" s="114" t="s">
        <v>242</v>
      </c>
    </row>
    <row r="82" spans="1:5">
      <c r="A82" s="108" t="s">
        <v>1374</v>
      </c>
      <c r="B82" s="191" t="s">
        <v>242</v>
      </c>
      <c r="C82" s="114" t="s">
        <v>242</v>
      </c>
      <c r="D82" s="191" t="s">
        <v>242</v>
      </c>
      <c r="E82" s="114" t="s">
        <v>242</v>
      </c>
    </row>
    <row r="83" spans="1:5">
      <c r="A83" s="108" t="s">
        <v>1375</v>
      </c>
      <c r="B83" s="191" t="s">
        <v>242</v>
      </c>
      <c r="C83" s="114" t="s">
        <v>242</v>
      </c>
      <c r="D83" s="191" t="s">
        <v>242</v>
      </c>
      <c r="E83" s="114" t="s">
        <v>242</v>
      </c>
    </row>
    <row r="84" spans="1:5">
      <c r="A84" s="108" t="s">
        <v>1376</v>
      </c>
      <c r="B84" s="190">
        <v>7904</v>
      </c>
      <c r="C84" s="114" t="s">
        <v>242</v>
      </c>
      <c r="D84" s="407">
        <v>321118</v>
      </c>
      <c r="E84" s="114" t="s">
        <v>242</v>
      </c>
    </row>
    <row r="85" spans="1:5">
      <c r="A85" s="108" t="s">
        <v>1377</v>
      </c>
      <c r="B85" s="190">
        <v>4075585</v>
      </c>
      <c r="C85" s="114" t="s">
        <v>242</v>
      </c>
      <c r="D85" s="191" t="s">
        <v>242</v>
      </c>
      <c r="E85" s="114" t="s">
        <v>242</v>
      </c>
    </row>
    <row r="86" spans="1:5">
      <c r="A86" s="108" t="s">
        <v>1378</v>
      </c>
      <c r="B86" s="190">
        <v>62977</v>
      </c>
      <c r="C86" s="114" t="s">
        <v>242</v>
      </c>
      <c r="D86" s="407">
        <v>64624</v>
      </c>
      <c r="E86" s="114" t="s">
        <v>242</v>
      </c>
    </row>
    <row r="87" spans="1:5">
      <c r="A87" s="108" t="s">
        <v>1379</v>
      </c>
      <c r="B87" s="191" t="s">
        <v>242</v>
      </c>
      <c r="C87" s="114" t="s">
        <v>242</v>
      </c>
      <c r="D87" s="191" t="s">
        <v>242</v>
      </c>
      <c r="E87" s="114" t="s">
        <v>242</v>
      </c>
    </row>
    <row r="88" spans="1:5">
      <c r="A88" s="108" t="s">
        <v>1380</v>
      </c>
      <c r="B88" s="190">
        <v>165000</v>
      </c>
      <c r="C88" s="114" t="s">
        <v>242</v>
      </c>
      <c r="D88" s="407">
        <v>150000</v>
      </c>
      <c r="E88" s="114" t="s">
        <v>242</v>
      </c>
    </row>
    <row r="89" spans="1:5">
      <c r="A89" s="113" t="s">
        <v>1423</v>
      </c>
      <c r="B89" s="58">
        <v>3314767</v>
      </c>
      <c r="C89" s="114" t="s">
        <v>242</v>
      </c>
      <c r="D89" s="191" t="s">
        <v>242</v>
      </c>
      <c r="E89" s="114" t="s">
        <v>242</v>
      </c>
    </row>
    <row r="90" spans="1:5">
      <c r="A90" s="113" t="s">
        <v>1432</v>
      </c>
      <c r="B90" s="58">
        <v>148380</v>
      </c>
      <c r="C90" s="114" t="s">
        <v>242</v>
      </c>
      <c r="D90" s="191" t="s">
        <v>242</v>
      </c>
      <c r="E90" s="114" t="s">
        <v>242</v>
      </c>
    </row>
    <row r="91" spans="1:5">
      <c r="A91" s="113" t="s">
        <v>1433</v>
      </c>
      <c r="B91" s="58">
        <v>84774</v>
      </c>
      <c r="C91" s="114" t="s">
        <v>242</v>
      </c>
      <c r="D91" s="191" t="s">
        <v>242</v>
      </c>
      <c r="E91" s="114" t="s">
        <v>242</v>
      </c>
    </row>
    <row r="92" spans="1:5">
      <c r="A92" s="113" t="s">
        <v>1435</v>
      </c>
      <c r="B92" s="58">
        <v>31662</v>
      </c>
      <c r="C92" s="114" t="s">
        <v>242</v>
      </c>
      <c r="D92" s="191" t="s">
        <v>242</v>
      </c>
      <c r="E92" s="114" t="s">
        <v>242</v>
      </c>
    </row>
    <row r="93" spans="1:5">
      <c r="A93" s="113" t="s">
        <v>1436</v>
      </c>
      <c r="B93" s="58">
        <v>3693055</v>
      </c>
      <c r="C93" s="114" t="s">
        <v>242</v>
      </c>
      <c r="D93" s="191" t="s">
        <v>242</v>
      </c>
      <c r="E93" s="114" t="s">
        <v>242</v>
      </c>
    </row>
    <row r="94" spans="1:5">
      <c r="A94" s="113" t="s">
        <v>1441</v>
      </c>
      <c r="B94" s="58">
        <v>1479</v>
      </c>
      <c r="C94" s="114" t="s">
        <v>242</v>
      </c>
      <c r="D94" s="191" t="s">
        <v>242</v>
      </c>
      <c r="E94" s="114" t="s">
        <v>242</v>
      </c>
    </row>
    <row r="95" spans="1:5">
      <c r="A95" s="108"/>
      <c r="B95" s="191" t="s">
        <v>242</v>
      </c>
      <c r="C95" s="114" t="s">
        <v>242</v>
      </c>
      <c r="D95" s="191" t="s">
        <v>242</v>
      </c>
      <c r="E95" s="114" t="s">
        <v>242</v>
      </c>
    </row>
    <row r="96" spans="1:5">
      <c r="A96" s="108" t="s">
        <v>382</v>
      </c>
      <c r="B96" s="191" t="s">
        <v>242</v>
      </c>
      <c r="C96" s="114" t="s">
        <v>242</v>
      </c>
      <c r="D96" s="191" t="s">
        <v>242</v>
      </c>
      <c r="E96" s="114" t="s">
        <v>242</v>
      </c>
    </row>
    <row r="97" spans="1:7">
      <c r="A97" s="113" t="s">
        <v>985</v>
      </c>
      <c r="B97" s="58">
        <v>1318220</v>
      </c>
      <c r="C97" s="114" t="s">
        <v>242</v>
      </c>
      <c r="D97" s="407">
        <v>866160</v>
      </c>
      <c r="E97" s="114" t="s">
        <v>242</v>
      </c>
    </row>
    <row r="98" spans="1:7">
      <c r="A98" s="113" t="s">
        <v>530</v>
      </c>
      <c r="B98" s="58">
        <v>594960</v>
      </c>
      <c r="C98" s="114" t="s">
        <v>242</v>
      </c>
      <c r="D98" s="407">
        <f>534965</f>
        <v>534965</v>
      </c>
      <c r="E98" s="114" t="s">
        <v>242</v>
      </c>
    </row>
    <row r="99" spans="1:7">
      <c r="A99" s="113" t="s">
        <v>531</v>
      </c>
      <c r="B99" s="58">
        <v>533147</v>
      </c>
      <c r="C99" s="114" t="s">
        <v>242</v>
      </c>
      <c r="D99" s="407">
        <v>1476254</v>
      </c>
      <c r="E99" s="114" t="s">
        <v>242</v>
      </c>
      <c r="F99" s="65" t="s">
        <v>0</v>
      </c>
    </row>
    <row r="100" spans="1:7">
      <c r="A100" s="113" t="s">
        <v>532</v>
      </c>
      <c r="B100" s="58">
        <v>3651070</v>
      </c>
      <c r="C100" s="114" t="s">
        <v>242</v>
      </c>
      <c r="D100" s="407">
        <v>81000</v>
      </c>
      <c r="E100" s="114" t="s">
        <v>242</v>
      </c>
    </row>
    <row r="101" spans="1:7">
      <c r="A101" s="113" t="s">
        <v>1381</v>
      </c>
      <c r="B101" s="58">
        <v>100000</v>
      </c>
      <c r="C101" s="114" t="s">
        <v>242</v>
      </c>
      <c r="D101" s="412">
        <v>100000</v>
      </c>
      <c r="E101" s="114" t="s">
        <v>242</v>
      </c>
    </row>
    <row r="102" spans="1:7">
      <c r="A102" s="115" t="s">
        <v>1382</v>
      </c>
      <c r="B102" s="63">
        <v>10000</v>
      </c>
      <c r="C102" s="114" t="s">
        <v>242</v>
      </c>
      <c r="D102" s="476">
        <v>10000</v>
      </c>
      <c r="E102" s="114" t="s">
        <v>242</v>
      </c>
    </row>
    <row r="103" spans="1:7" ht="16.2" thickBot="1">
      <c r="A103" s="115" t="s">
        <v>1447</v>
      </c>
      <c r="B103" s="61">
        <v>194571</v>
      </c>
      <c r="C103" s="118" t="s">
        <v>242</v>
      </c>
      <c r="D103" s="204" t="s">
        <v>242</v>
      </c>
      <c r="E103" s="114" t="s">
        <v>242</v>
      </c>
    </row>
    <row r="104" spans="1:7" ht="16.2" thickBot="1">
      <c r="A104" s="266" t="s">
        <v>17</v>
      </c>
      <c r="B104" s="276">
        <f>SUM(B18:B36,B45:B62,B71:B103)</f>
        <v>155702123.51999998</v>
      </c>
      <c r="C104" s="280"/>
      <c r="D104" s="358"/>
      <c r="E104" s="276">
        <f>SUM(D8:D36,D45:D62,D71:D103)</f>
        <v>111231980.52</v>
      </c>
      <c r="F104" s="65"/>
      <c r="G104" s="65" t="s">
        <v>112</v>
      </c>
    </row>
    <row r="105" spans="1:7">
      <c r="A105" s="631" t="s">
        <v>989</v>
      </c>
      <c r="B105" s="631"/>
      <c r="C105" s="631"/>
      <c r="D105" s="631"/>
      <c r="E105" s="631"/>
      <c r="F105" s="65"/>
      <c r="G105" s="65"/>
    </row>
    <row r="106" spans="1:7">
      <c r="A106" s="621" t="s">
        <v>1030</v>
      </c>
      <c r="B106" s="621"/>
      <c r="C106" s="621"/>
      <c r="D106" s="621"/>
      <c r="E106" s="621"/>
      <c r="F106" s="65"/>
      <c r="G106" s="65"/>
    </row>
    <row r="107" spans="1:7" ht="16.2" thickBot="1">
      <c r="A107" s="315"/>
      <c r="B107" s="315"/>
      <c r="C107" s="493"/>
      <c r="D107" s="315"/>
      <c r="E107" s="315"/>
      <c r="F107" s="65"/>
      <c r="G107" s="65"/>
    </row>
    <row r="108" spans="1:7">
      <c r="A108" s="261" t="s">
        <v>518</v>
      </c>
      <c r="B108" s="359" t="s">
        <v>242</v>
      </c>
      <c r="C108" s="197" t="s">
        <v>242</v>
      </c>
      <c r="D108" s="362" t="s">
        <v>242</v>
      </c>
      <c r="E108" s="116" t="s">
        <v>242</v>
      </c>
    </row>
    <row r="109" spans="1:7">
      <c r="A109" s="108" t="s">
        <v>403</v>
      </c>
      <c r="B109" s="327" t="s">
        <v>242</v>
      </c>
      <c r="C109" s="114" t="s">
        <v>242</v>
      </c>
      <c r="D109" s="186" t="s">
        <v>242</v>
      </c>
      <c r="E109" s="114" t="s">
        <v>242</v>
      </c>
    </row>
    <row r="110" spans="1:7">
      <c r="A110" s="108" t="s">
        <v>404</v>
      </c>
      <c r="B110" s="327" t="s">
        <v>242</v>
      </c>
      <c r="C110" s="114" t="s">
        <v>242</v>
      </c>
      <c r="D110" s="186" t="s">
        <v>242</v>
      </c>
      <c r="E110" s="114" t="s">
        <v>242</v>
      </c>
      <c r="F110" s="65"/>
    </row>
    <row r="111" spans="1:7">
      <c r="A111" s="108" t="s">
        <v>405</v>
      </c>
      <c r="B111" s="327" t="s">
        <v>242</v>
      </c>
      <c r="C111" s="114" t="s">
        <v>242</v>
      </c>
      <c r="D111" s="186" t="s">
        <v>242</v>
      </c>
      <c r="E111" s="114" t="s">
        <v>242</v>
      </c>
    </row>
    <row r="112" spans="1:7">
      <c r="A112" s="108" t="s">
        <v>406</v>
      </c>
      <c r="B112" s="327" t="s">
        <v>242</v>
      </c>
      <c r="C112" s="114" t="s">
        <v>242</v>
      </c>
      <c r="D112" s="186" t="s">
        <v>242</v>
      </c>
      <c r="E112" s="114" t="s">
        <v>242</v>
      </c>
    </row>
    <row r="113" spans="1:5">
      <c r="A113" s="108" t="s">
        <v>407</v>
      </c>
      <c r="B113" s="327" t="s">
        <v>242</v>
      </c>
      <c r="C113" s="114" t="s">
        <v>242</v>
      </c>
      <c r="D113" s="186" t="s">
        <v>242</v>
      </c>
      <c r="E113" s="114" t="s">
        <v>242</v>
      </c>
    </row>
    <row r="114" spans="1:5">
      <c r="A114" s="108" t="s">
        <v>408</v>
      </c>
      <c r="B114" s="327" t="s">
        <v>242</v>
      </c>
      <c r="C114" s="114" t="s">
        <v>242</v>
      </c>
      <c r="D114" s="186" t="s">
        <v>242</v>
      </c>
      <c r="E114" s="114" t="s">
        <v>242</v>
      </c>
    </row>
    <row r="115" spans="1:5">
      <c r="A115" s="265" t="s">
        <v>125</v>
      </c>
      <c r="B115" s="292"/>
      <c r="C115" s="114"/>
      <c r="D115" s="186"/>
      <c r="E115" s="114"/>
    </row>
    <row r="116" spans="1:5" ht="16.2" thickBot="1">
      <c r="A116" s="267"/>
      <c r="B116" s="360"/>
      <c r="C116" s="118"/>
      <c r="D116" s="353"/>
      <c r="E116" s="118"/>
    </row>
    <row r="117" spans="1:5" ht="16.2" thickBot="1">
      <c r="A117" s="107" t="s">
        <v>126</v>
      </c>
      <c r="B117" s="361">
        <f>B104+B115</f>
        <v>155702123.51999998</v>
      </c>
      <c r="C117" s="280"/>
      <c r="D117" s="361"/>
      <c r="E117" s="276">
        <f>E104</f>
        <v>111231980.52</v>
      </c>
    </row>
    <row r="119" spans="1:5">
      <c r="C119" s="65"/>
    </row>
    <row r="135" spans="1:5">
      <c r="A135" s="621" t="s">
        <v>1395</v>
      </c>
      <c r="B135" s="621"/>
      <c r="C135" s="621"/>
      <c r="D135" s="621"/>
      <c r="E135" s="621"/>
    </row>
  </sheetData>
  <mergeCells count="22">
    <mergeCell ref="A135:E135"/>
    <mergeCell ref="A105:E105"/>
    <mergeCell ref="A38:E38"/>
    <mergeCell ref="A64:E64"/>
    <mergeCell ref="A106:E106"/>
    <mergeCell ref="A39:E39"/>
    <mergeCell ref="D69:E69"/>
    <mergeCell ref="B70:C70"/>
    <mergeCell ref="D70:E70"/>
    <mergeCell ref="A41:E41"/>
    <mergeCell ref="D43:E43"/>
    <mergeCell ref="B44:C44"/>
    <mergeCell ref="D44:E44"/>
    <mergeCell ref="A65:E65"/>
    <mergeCell ref="A67:E67"/>
    <mergeCell ref="D37:E37"/>
    <mergeCell ref="D63:E63"/>
    <mergeCell ref="B6:C6"/>
    <mergeCell ref="D6:E6"/>
    <mergeCell ref="A1:E1"/>
    <mergeCell ref="A3:E3"/>
    <mergeCell ref="D5:E5"/>
  </mergeCells>
  <phoneticPr fontId="0" type="noConversion"/>
  <printOptions horizontalCentered="1"/>
  <pageMargins left="0.98425196850393704" right="0.51181102362204722" top="0.39370078740157483" bottom="0.35433070866141736" header="0" footer="0"/>
  <pageSetup paperSize="9" scale="83" orientation="landscape" horizontalDpi="300" verticalDpi="300" r:id="rId1"/>
  <headerFooter alignWithMargins="0"/>
  <rowBreaks count="3" manualBreakCount="3">
    <brk id="38" max="4" man="1"/>
    <brk id="64" max="4" man="1"/>
    <brk id="106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rgb="FFFFC000"/>
  </sheetPr>
  <dimension ref="A1:R58"/>
  <sheetViews>
    <sheetView view="pageBreakPreview" zoomScaleSheetLayoutView="100" workbookViewId="0">
      <pane xSplit="1" ySplit="7" topLeftCell="D44" activePane="bottomRight" state="frozen"/>
      <selection pane="topRight" activeCell="B1" sqref="B1"/>
      <selection pane="bottomLeft" activeCell="A8" sqref="A8"/>
      <selection pane="bottomRight" activeCell="H25" sqref="H25"/>
    </sheetView>
  </sheetViews>
  <sheetFormatPr defaultColWidth="9.109375" defaultRowHeight="13.8"/>
  <cols>
    <col min="1" max="1" width="46.33203125" style="130" customWidth="1"/>
    <col min="2" max="2" width="17.6640625" style="130" customWidth="1"/>
    <col min="3" max="3" width="16.33203125" style="130" customWidth="1"/>
    <col min="4" max="4" width="15" style="130" customWidth="1"/>
    <col min="5" max="5" width="17.6640625" style="130" customWidth="1"/>
    <col min="6" max="6" width="17.5546875" style="130" customWidth="1"/>
    <col min="7" max="7" width="17.6640625" style="130" bestFit="1" customWidth="1"/>
    <col min="8" max="8" width="13.88671875" style="130" customWidth="1"/>
    <col min="9" max="9" width="17.5546875" style="130" customWidth="1"/>
    <col min="10" max="10" width="22" style="130" bestFit="1" customWidth="1"/>
    <col min="11" max="11" width="17.88671875" style="130" bestFit="1" customWidth="1"/>
    <col min="12" max="12" width="1.6640625" style="130" bestFit="1" customWidth="1"/>
    <col min="13" max="13" width="16.88671875" style="130" bestFit="1" customWidth="1"/>
    <col min="14" max="16" width="9.109375" style="130"/>
    <col min="17" max="17" width="13.109375" style="130" bestFit="1" customWidth="1"/>
    <col min="18" max="18" width="11.33203125" style="130" bestFit="1" customWidth="1"/>
    <col min="19" max="16384" width="9.109375" style="130"/>
  </cols>
  <sheetData>
    <row r="1" spans="1:18" ht="15.75" customHeight="1">
      <c r="A1" s="630" t="s">
        <v>92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</row>
    <row r="2" spans="1:18" ht="15.6">
      <c r="A2" s="498"/>
      <c r="B2" s="498"/>
      <c r="C2" s="498"/>
      <c r="D2" s="498"/>
      <c r="E2" s="498"/>
      <c r="F2" s="57"/>
      <c r="G2" s="57"/>
      <c r="H2" s="57"/>
      <c r="I2" s="57"/>
      <c r="J2" s="57"/>
      <c r="K2" s="57"/>
    </row>
    <row r="3" spans="1:18" ht="15.75" customHeight="1">
      <c r="A3" s="630" t="s">
        <v>1415</v>
      </c>
      <c r="B3" s="630"/>
      <c r="C3" s="630"/>
      <c r="D3" s="630"/>
      <c r="E3" s="630"/>
      <c r="F3" s="630"/>
      <c r="G3" s="630"/>
      <c r="H3" s="630"/>
      <c r="I3" s="630"/>
      <c r="J3" s="630"/>
      <c r="K3" s="630"/>
    </row>
    <row r="4" spans="1:18" ht="15.75" customHeight="1">
      <c r="A4" s="508"/>
      <c r="B4" s="508"/>
      <c r="C4" s="508"/>
      <c r="D4" s="508"/>
      <c r="E4" s="508"/>
      <c r="F4" s="508"/>
      <c r="G4" s="508"/>
      <c r="H4" s="508"/>
      <c r="I4" s="508"/>
      <c r="J4" s="598" t="s">
        <v>1455</v>
      </c>
      <c r="K4" s="598"/>
    </row>
    <row r="5" spans="1:18" ht="14.4" thickBot="1">
      <c r="A5" s="509" t="s">
        <v>127</v>
      </c>
      <c r="B5" s="509"/>
      <c r="C5" s="509"/>
      <c r="D5" s="509"/>
      <c r="E5" s="509"/>
      <c r="F5" s="509"/>
      <c r="G5" s="509"/>
      <c r="H5" s="509"/>
      <c r="I5" s="509"/>
      <c r="J5" s="509"/>
      <c r="K5" s="509"/>
    </row>
    <row r="6" spans="1:18" ht="14.4" thickBot="1">
      <c r="A6" s="643" t="s">
        <v>128</v>
      </c>
      <c r="B6" s="639" t="s">
        <v>130</v>
      </c>
      <c r="C6" s="640"/>
      <c r="D6" s="640"/>
      <c r="E6" s="641"/>
      <c r="F6" s="639" t="s">
        <v>131</v>
      </c>
      <c r="G6" s="640"/>
      <c r="H6" s="640"/>
      <c r="I6" s="641"/>
      <c r="J6" s="642" t="s">
        <v>132</v>
      </c>
      <c r="K6" s="641"/>
    </row>
    <row r="7" spans="1:18" s="512" customFormat="1" ht="42.75" customHeight="1" thickBot="1">
      <c r="A7" s="644"/>
      <c r="B7" s="510" t="s">
        <v>254</v>
      </c>
      <c r="C7" s="510" t="s">
        <v>358</v>
      </c>
      <c r="D7" s="510" t="s">
        <v>359</v>
      </c>
      <c r="E7" s="511" t="s">
        <v>360</v>
      </c>
      <c r="F7" s="510" t="s">
        <v>129</v>
      </c>
      <c r="G7" s="510" t="s">
        <v>438</v>
      </c>
      <c r="H7" s="510" t="s">
        <v>361</v>
      </c>
      <c r="I7" s="510" t="s">
        <v>362</v>
      </c>
      <c r="J7" s="510" t="s">
        <v>363</v>
      </c>
      <c r="K7" s="510" t="s">
        <v>364</v>
      </c>
    </row>
    <row r="8" spans="1:18">
      <c r="A8" s="513" t="s">
        <v>133</v>
      </c>
      <c r="B8" s="514"/>
      <c r="C8" s="514"/>
      <c r="D8" s="514"/>
      <c r="E8" s="515"/>
      <c r="F8" s="514"/>
      <c r="G8" s="514"/>
      <c r="H8" s="514"/>
      <c r="I8" s="514"/>
      <c r="J8" s="568"/>
      <c r="K8" s="514"/>
    </row>
    <row r="9" spans="1:18">
      <c r="A9" s="516" t="s">
        <v>134</v>
      </c>
      <c r="B9" s="517"/>
      <c r="C9" s="517"/>
      <c r="D9" s="518"/>
      <c r="E9" s="519"/>
      <c r="F9" s="518"/>
      <c r="G9" s="518"/>
      <c r="H9" s="517"/>
      <c r="I9" s="520"/>
      <c r="J9" s="567"/>
      <c r="K9" s="519"/>
    </row>
    <row r="10" spans="1:18">
      <c r="A10" s="521" t="s">
        <v>93</v>
      </c>
      <c r="B10" s="518">
        <v>9166612</v>
      </c>
      <c r="C10" s="522">
        <v>0</v>
      </c>
      <c r="D10" s="523">
        <v>0</v>
      </c>
      <c r="E10" s="519">
        <f>B10+C10-D10</f>
        <v>9166612</v>
      </c>
      <c r="F10" s="524">
        <v>0</v>
      </c>
      <c r="G10" s="524">
        <v>0</v>
      </c>
      <c r="H10" s="524">
        <v>0</v>
      </c>
      <c r="I10" s="525">
        <v>0</v>
      </c>
      <c r="J10" s="526">
        <f>E10-I10</f>
        <v>9166612</v>
      </c>
      <c r="K10" s="519">
        <v>9166612</v>
      </c>
      <c r="M10" s="527"/>
    </row>
    <row r="11" spans="1:18">
      <c r="A11" s="516" t="s">
        <v>94</v>
      </c>
      <c r="B11" s="524">
        <v>0</v>
      </c>
      <c r="C11" s="523">
        <v>0</v>
      </c>
      <c r="D11" s="523">
        <v>0</v>
      </c>
      <c r="E11" s="528">
        <v>0</v>
      </c>
      <c r="F11" s="524">
        <v>0</v>
      </c>
      <c r="G11" s="524">
        <v>0</v>
      </c>
      <c r="H11" s="524">
        <v>0</v>
      </c>
      <c r="I11" s="525">
        <v>0</v>
      </c>
      <c r="J11" s="526">
        <f t="shared" ref="J11:J37" si="0">E11-I11</f>
        <v>0</v>
      </c>
      <c r="K11" s="529">
        <v>0</v>
      </c>
      <c r="M11" s="527"/>
    </row>
    <row r="12" spans="1:18" ht="15.6">
      <c r="A12" s="516" t="s">
        <v>135</v>
      </c>
      <c r="B12" s="530">
        <v>0</v>
      </c>
      <c r="C12" s="523"/>
      <c r="D12" s="523"/>
      <c r="E12" s="528">
        <v>0</v>
      </c>
      <c r="F12" s="524"/>
      <c r="G12" s="523"/>
      <c r="H12" s="523"/>
      <c r="I12" s="520"/>
      <c r="J12" s="526">
        <f t="shared" si="0"/>
        <v>0</v>
      </c>
      <c r="K12" s="190">
        <v>0</v>
      </c>
      <c r="M12" s="527"/>
    </row>
    <row r="13" spans="1:18">
      <c r="A13" s="516" t="s">
        <v>95</v>
      </c>
      <c r="B13" s="524">
        <v>0</v>
      </c>
      <c r="C13" s="523">
        <v>0</v>
      </c>
      <c r="D13" s="523">
        <v>0</v>
      </c>
      <c r="E13" s="528">
        <v>0</v>
      </c>
      <c r="F13" s="531">
        <v>0</v>
      </c>
      <c r="G13" s="523">
        <v>0</v>
      </c>
      <c r="H13" s="523">
        <v>0</v>
      </c>
      <c r="I13" s="532">
        <v>0</v>
      </c>
      <c r="J13" s="526">
        <f t="shared" si="0"/>
        <v>0</v>
      </c>
      <c r="K13" s="533">
        <v>0</v>
      </c>
      <c r="M13" s="527"/>
    </row>
    <row r="14" spans="1:18">
      <c r="A14" s="516" t="s">
        <v>96</v>
      </c>
      <c r="B14" s="518">
        <v>20656240.809999999</v>
      </c>
      <c r="C14" s="523">
        <v>0</v>
      </c>
      <c r="D14" s="523">
        <v>0</v>
      </c>
      <c r="E14" s="519">
        <f t="shared" ref="E14:E38" si="1">B14+C14-D14</f>
        <v>20656240.809999999</v>
      </c>
      <c r="F14" s="518">
        <v>18415556.938252427</v>
      </c>
      <c r="G14" s="518">
        <v>1734723.03</v>
      </c>
      <c r="H14" s="523">
        <v>0</v>
      </c>
      <c r="I14" s="520">
        <f>F14+G14-H14</f>
        <v>20150279.968252428</v>
      </c>
      <c r="J14" s="526">
        <f t="shared" si="0"/>
        <v>505960.84174757078</v>
      </c>
      <c r="K14" s="519">
        <v>2240683.871747572</v>
      </c>
      <c r="M14" s="527"/>
      <c r="R14" s="534"/>
    </row>
    <row r="15" spans="1:18">
      <c r="A15" s="516" t="s">
        <v>97</v>
      </c>
      <c r="B15" s="524">
        <v>0</v>
      </c>
      <c r="C15" s="523">
        <v>0</v>
      </c>
      <c r="D15" s="523">
        <v>0</v>
      </c>
      <c r="E15" s="523">
        <v>0</v>
      </c>
      <c r="F15" s="523">
        <v>0</v>
      </c>
      <c r="G15" s="523"/>
      <c r="H15" s="523">
        <v>0</v>
      </c>
      <c r="I15" s="532">
        <v>0</v>
      </c>
      <c r="J15" s="526">
        <f t="shared" si="0"/>
        <v>0</v>
      </c>
      <c r="K15" s="533">
        <v>0</v>
      </c>
      <c r="M15" s="527"/>
    </row>
    <row r="16" spans="1:18">
      <c r="A16" s="516" t="s">
        <v>98</v>
      </c>
      <c r="B16" s="518">
        <v>10344022.4</v>
      </c>
      <c r="C16" s="523">
        <v>0</v>
      </c>
      <c r="D16" s="523">
        <v>0</v>
      </c>
      <c r="E16" s="519">
        <f t="shared" si="1"/>
        <v>10344022.4</v>
      </c>
      <c r="F16" s="518">
        <v>8806949.1820388343</v>
      </c>
      <c r="G16" s="518">
        <v>1189992.47</v>
      </c>
      <c r="H16" s="523">
        <v>0</v>
      </c>
      <c r="I16" s="520">
        <f t="shared" ref="I16:I21" si="2">F16+G16-H16</f>
        <v>9996941.652038835</v>
      </c>
      <c r="J16" s="526">
        <f t="shared" si="0"/>
        <v>347080.74796116538</v>
      </c>
      <c r="K16" s="519">
        <v>1537073.2179611661</v>
      </c>
      <c r="M16" s="527"/>
      <c r="R16" s="534"/>
    </row>
    <row r="17" spans="1:18" ht="15.6">
      <c r="A17" s="516" t="s">
        <v>99</v>
      </c>
      <c r="B17" s="518"/>
      <c r="C17" s="518"/>
      <c r="D17" s="524"/>
      <c r="E17" s="523"/>
      <c r="F17" s="518"/>
      <c r="G17" s="518"/>
      <c r="H17" s="523"/>
      <c r="I17" s="535"/>
      <c r="J17" s="526"/>
      <c r="K17" s="190"/>
      <c r="M17" s="527"/>
      <c r="R17" s="534"/>
    </row>
    <row r="18" spans="1:18">
      <c r="A18" s="516" t="s">
        <v>29</v>
      </c>
      <c r="B18" s="518">
        <v>40598780</v>
      </c>
      <c r="C18" s="536">
        <f>15224930+3693055</f>
        <v>18917985</v>
      </c>
      <c r="D18" s="523">
        <v>0</v>
      </c>
      <c r="E18" s="519">
        <f t="shared" si="1"/>
        <v>59516765</v>
      </c>
      <c r="F18" s="518">
        <v>10495307.815810001</v>
      </c>
      <c r="G18" s="518">
        <v>4039435.12</v>
      </c>
      <c r="H18" s="523">
        <v>0</v>
      </c>
      <c r="I18" s="520">
        <f>F18+G18-H18</f>
        <v>14534742.93581</v>
      </c>
      <c r="J18" s="526">
        <f>E18-I18+0.01</f>
        <v>44982022.074189998</v>
      </c>
      <c r="K18" s="519">
        <v>30103472.194189999</v>
      </c>
      <c r="M18" s="527"/>
      <c r="R18" s="534"/>
    </row>
    <row r="19" spans="1:18">
      <c r="A19" s="516" t="s">
        <v>699</v>
      </c>
      <c r="B19" s="530">
        <v>9870359</v>
      </c>
      <c r="C19" s="523"/>
      <c r="D19" s="523">
        <v>0</v>
      </c>
      <c r="E19" s="519">
        <f t="shared" si="1"/>
        <v>9870359</v>
      </c>
      <c r="F19" s="537">
        <v>7292798.6090000011</v>
      </c>
      <c r="G19" s="518">
        <v>257756.04</v>
      </c>
      <c r="H19" s="523">
        <v>0</v>
      </c>
      <c r="I19" s="520">
        <f t="shared" si="2"/>
        <v>7550554.6490000011</v>
      </c>
      <c r="J19" s="526">
        <f t="shared" si="0"/>
        <v>2319804.3509999989</v>
      </c>
      <c r="K19" s="519">
        <v>2577560.3909999989</v>
      </c>
      <c r="M19" s="527"/>
      <c r="R19" s="534"/>
    </row>
    <row r="20" spans="1:18">
      <c r="A20" s="516" t="s">
        <v>59</v>
      </c>
      <c r="B20" s="530">
        <v>7486041</v>
      </c>
      <c r="C20" s="522">
        <v>0</v>
      </c>
      <c r="D20" s="523">
        <v>0</v>
      </c>
      <c r="E20" s="519">
        <f t="shared" si="1"/>
        <v>7486041</v>
      </c>
      <c r="F20" s="530">
        <v>4840553.2170000002</v>
      </c>
      <c r="G20" s="517">
        <v>264548.78000000003</v>
      </c>
      <c r="H20" s="523">
        <v>0</v>
      </c>
      <c r="I20" s="520">
        <f t="shared" si="2"/>
        <v>5105101.9970000004</v>
      </c>
      <c r="J20" s="526">
        <f t="shared" si="0"/>
        <v>2380939.0029999996</v>
      </c>
      <c r="K20" s="519">
        <v>2645487.7829999998</v>
      </c>
      <c r="M20" s="527"/>
      <c r="R20" s="534"/>
    </row>
    <row r="21" spans="1:18">
      <c r="A21" s="516" t="s">
        <v>60</v>
      </c>
      <c r="B21" s="530">
        <v>220000</v>
      </c>
      <c r="C21" s="522">
        <v>0</v>
      </c>
      <c r="D21" s="523">
        <v>0</v>
      </c>
      <c r="E21" s="519">
        <f t="shared" si="1"/>
        <v>220000</v>
      </c>
      <c r="F21" s="530">
        <v>160972.14100000003</v>
      </c>
      <c r="G21" s="518">
        <v>5902.79</v>
      </c>
      <c r="H21" s="523">
        <v>0</v>
      </c>
      <c r="I21" s="520">
        <f t="shared" si="2"/>
        <v>166874.93100000004</v>
      </c>
      <c r="J21" s="526">
        <f t="shared" si="0"/>
        <v>53125.068999999959</v>
      </c>
      <c r="K21" s="519">
        <v>59027.858999999968</v>
      </c>
      <c r="M21" s="527"/>
      <c r="R21" s="534"/>
    </row>
    <row r="22" spans="1:18">
      <c r="A22" s="516" t="s">
        <v>1340</v>
      </c>
      <c r="B22" s="530">
        <v>2363597887.1399999</v>
      </c>
      <c r="C22" s="522">
        <v>0</v>
      </c>
      <c r="D22" s="523">
        <v>0</v>
      </c>
      <c r="E22" s="519">
        <f>B22+C22-D22</f>
        <v>2363597887.1399999</v>
      </c>
      <c r="F22" s="530">
        <v>1176386175.1840999</v>
      </c>
      <c r="G22" s="518">
        <v>118721170.5</v>
      </c>
      <c r="H22" s="523">
        <v>0</v>
      </c>
      <c r="I22" s="520">
        <f>F22+G22-H22</f>
        <v>1295107345.6840999</v>
      </c>
      <c r="J22" s="526">
        <f t="shared" si="0"/>
        <v>1068490541.4559</v>
      </c>
      <c r="K22" s="519">
        <v>1187211711.9559</v>
      </c>
      <c r="M22" s="527"/>
      <c r="R22" s="534"/>
    </row>
    <row r="23" spans="1:18">
      <c r="A23" s="516"/>
      <c r="B23" s="518"/>
      <c r="C23" s="518"/>
      <c r="D23" s="524"/>
      <c r="E23" s="519"/>
      <c r="F23" s="518"/>
      <c r="G23" s="518"/>
      <c r="H23" s="523"/>
      <c r="I23" s="520"/>
      <c r="J23" s="526">
        <f t="shared" si="0"/>
        <v>0</v>
      </c>
      <c r="K23" s="519"/>
      <c r="M23" s="527"/>
      <c r="R23" s="534"/>
    </row>
    <row r="24" spans="1:18">
      <c r="A24" s="516" t="s">
        <v>100</v>
      </c>
      <c r="B24" s="523">
        <v>0</v>
      </c>
      <c r="C24" s="522">
        <v>0</v>
      </c>
      <c r="D24" s="523">
        <v>0</v>
      </c>
      <c r="E24" s="528">
        <v>0</v>
      </c>
      <c r="F24" s="523">
        <v>0</v>
      </c>
      <c r="G24" s="523">
        <v>0</v>
      </c>
      <c r="H24" s="523">
        <v>0</v>
      </c>
      <c r="I24" s="523">
        <v>0</v>
      </c>
      <c r="J24" s="526">
        <f t="shared" si="0"/>
        <v>0</v>
      </c>
      <c r="K24" s="523">
        <v>0</v>
      </c>
      <c r="M24" s="527"/>
      <c r="R24" s="534"/>
    </row>
    <row r="25" spans="1:18">
      <c r="A25" s="516" t="s">
        <v>136</v>
      </c>
      <c r="B25" s="517">
        <v>7500910.3300000001</v>
      </c>
      <c r="C25" s="522">
        <v>0</v>
      </c>
      <c r="D25" s="523">
        <v>0</v>
      </c>
      <c r="E25" s="519">
        <f t="shared" si="1"/>
        <v>7500910.3300000001</v>
      </c>
      <c r="F25" s="518">
        <v>5445989.4617109373</v>
      </c>
      <c r="G25" s="518">
        <v>308238.13</v>
      </c>
      <c r="H25" s="523">
        <v>0</v>
      </c>
      <c r="I25" s="520">
        <f t="shared" ref="I25:I38" si="3">F25+G25-H25</f>
        <v>5754227.5917109372</v>
      </c>
      <c r="J25" s="526">
        <f t="shared" si="0"/>
        <v>1746682.7382890629</v>
      </c>
      <c r="K25" s="519">
        <v>2054920.8682890628</v>
      </c>
      <c r="M25" s="527"/>
      <c r="R25" s="534"/>
    </row>
    <row r="26" spans="1:18">
      <c r="A26" s="516" t="s">
        <v>240</v>
      </c>
      <c r="B26" s="517">
        <v>95018681.239999995</v>
      </c>
      <c r="C26" s="518">
        <v>7410811</v>
      </c>
      <c r="D26" s="522">
        <v>0</v>
      </c>
      <c r="E26" s="519">
        <f t="shared" si="1"/>
        <v>102429492.23999999</v>
      </c>
      <c r="F26" s="518">
        <v>38505847.148137495</v>
      </c>
      <c r="G26" s="518">
        <f>6076540.3+154889.56</f>
        <v>6231429.8599999994</v>
      </c>
      <c r="H26" s="523">
        <v>0</v>
      </c>
      <c r="I26" s="520">
        <f t="shared" si="3"/>
        <v>44737277.008137494</v>
      </c>
      <c r="J26" s="526">
        <f>E26-I26-0.01</f>
        <v>57692215.221862502</v>
      </c>
      <c r="K26" s="519">
        <v>56512834.081862502</v>
      </c>
      <c r="M26" s="527"/>
      <c r="R26" s="534"/>
    </row>
    <row r="27" spans="1:18">
      <c r="A27" s="516" t="s">
        <v>137</v>
      </c>
      <c r="B27" s="517">
        <v>40107213.280000001</v>
      </c>
      <c r="C27" s="518">
        <v>7710784</v>
      </c>
      <c r="D27" s="522">
        <v>0</v>
      </c>
      <c r="E27" s="519">
        <f t="shared" si="1"/>
        <v>47817997.280000001</v>
      </c>
      <c r="F27" s="518">
        <v>18698387.721606873</v>
      </c>
      <c r="G27" s="518">
        <v>4235182.21</v>
      </c>
      <c r="H27" s="523">
        <v>0</v>
      </c>
      <c r="I27" s="520">
        <f t="shared" si="3"/>
        <v>22933569.931606874</v>
      </c>
      <c r="J27" s="526">
        <f t="shared" si="0"/>
        <v>24884427.348393127</v>
      </c>
      <c r="K27" s="519">
        <v>21408825.558393128</v>
      </c>
      <c r="M27" s="527"/>
      <c r="R27" s="534"/>
    </row>
    <row r="28" spans="1:18">
      <c r="A28" s="516" t="s">
        <v>138</v>
      </c>
      <c r="B28" s="518">
        <v>21056321</v>
      </c>
      <c r="C28" s="518">
        <v>4305317</v>
      </c>
      <c r="D28" s="522">
        <v>0</v>
      </c>
      <c r="E28" s="519">
        <f t="shared" si="1"/>
        <v>25361638</v>
      </c>
      <c r="F28" s="518">
        <v>17528267.646420002</v>
      </c>
      <c r="G28" s="518">
        <f>3700483.37+177.64</f>
        <v>3700661.0100000002</v>
      </c>
      <c r="H28" s="523">
        <v>0</v>
      </c>
      <c r="I28" s="520">
        <f t="shared" si="3"/>
        <v>21228928.656420004</v>
      </c>
      <c r="J28" s="526">
        <f t="shared" si="0"/>
        <v>4132709.3435799964</v>
      </c>
      <c r="K28" s="519">
        <v>3528053.353579998</v>
      </c>
      <c r="M28" s="527"/>
      <c r="R28" s="534"/>
    </row>
    <row r="29" spans="1:18">
      <c r="A29" s="516" t="s">
        <v>512</v>
      </c>
      <c r="B29" s="517">
        <v>982928</v>
      </c>
      <c r="C29" s="522">
        <v>0</v>
      </c>
      <c r="D29" s="522">
        <v>0</v>
      </c>
      <c r="E29" s="519">
        <f t="shared" si="1"/>
        <v>982928</v>
      </c>
      <c r="F29" s="518">
        <v>400110.68985249999</v>
      </c>
      <c r="G29" s="518">
        <v>58281.73</v>
      </c>
      <c r="H29" s="523">
        <v>0</v>
      </c>
      <c r="I29" s="520">
        <f t="shared" si="3"/>
        <v>458392.41985249997</v>
      </c>
      <c r="J29" s="526">
        <f t="shared" si="0"/>
        <v>524535.58014750003</v>
      </c>
      <c r="K29" s="519">
        <v>582817.31014750001</v>
      </c>
      <c r="M29" s="527"/>
      <c r="R29" s="534"/>
    </row>
    <row r="30" spans="1:18">
      <c r="A30" s="516" t="s">
        <v>513</v>
      </c>
      <c r="B30" s="517">
        <v>100498707.56</v>
      </c>
      <c r="C30" s="518">
        <v>15537993</v>
      </c>
      <c r="D30" s="524">
        <v>74311</v>
      </c>
      <c r="E30" s="519">
        <f t="shared" si="1"/>
        <v>115962389.56</v>
      </c>
      <c r="F30" s="518">
        <v>75649402.215159997</v>
      </c>
      <c r="G30" s="518">
        <v>19570373.010000002</v>
      </c>
      <c r="H30" s="523">
        <v>0</v>
      </c>
      <c r="I30" s="520">
        <f t="shared" si="3"/>
        <v>95219775.225160003</v>
      </c>
      <c r="J30" s="526">
        <f>E30-I30+0.01</f>
        <v>20742614.344840001</v>
      </c>
      <c r="K30" s="519">
        <v>24849305.344840005</v>
      </c>
      <c r="M30" s="527"/>
      <c r="R30" s="534"/>
    </row>
    <row r="31" spans="1:18">
      <c r="A31" s="516" t="s">
        <v>514</v>
      </c>
      <c r="B31" s="518">
        <v>5233611.8600000003</v>
      </c>
      <c r="C31" s="522">
        <v>0</v>
      </c>
      <c r="D31" s="522">
        <v>0</v>
      </c>
      <c r="E31" s="519">
        <f t="shared" si="1"/>
        <v>5233611.8600000003</v>
      </c>
      <c r="F31" s="518">
        <v>1372413.8092449999</v>
      </c>
      <c r="G31" s="518">
        <v>386119.81</v>
      </c>
      <c r="H31" s="523">
        <v>0</v>
      </c>
      <c r="I31" s="520">
        <f t="shared" si="3"/>
        <v>1758533.619245</v>
      </c>
      <c r="J31" s="526">
        <f t="shared" si="0"/>
        <v>3475078.2407550002</v>
      </c>
      <c r="K31" s="519">
        <v>3861198.0507550007</v>
      </c>
      <c r="M31" s="527"/>
      <c r="R31" s="534"/>
    </row>
    <row r="32" spans="1:18">
      <c r="A32" s="516" t="s">
        <v>515</v>
      </c>
      <c r="B32" s="518">
        <v>816963</v>
      </c>
      <c r="C32" s="522">
        <v>0</v>
      </c>
      <c r="D32" s="522">
        <v>0</v>
      </c>
      <c r="E32" s="519">
        <f t="shared" si="1"/>
        <v>816963</v>
      </c>
      <c r="F32" s="518">
        <v>425063.6616903125</v>
      </c>
      <c r="G32" s="518">
        <v>58784.9</v>
      </c>
      <c r="H32" s="523">
        <v>0</v>
      </c>
      <c r="I32" s="520">
        <f t="shared" si="3"/>
        <v>483848.56169031252</v>
      </c>
      <c r="J32" s="526">
        <f t="shared" si="0"/>
        <v>333114.43830968748</v>
      </c>
      <c r="K32" s="519">
        <v>391899.3383096875</v>
      </c>
      <c r="M32" s="527"/>
      <c r="R32" s="534"/>
    </row>
    <row r="33" spans="1:18">
      <c r="A33" s="516" t="s">
        <v>411</v>
      </c>
      <c r="B33" s="518">
        <v>36500000</v>
      </c>
      <c r="C33" s="522">
        <v>0</v>
      </c>
      <c r="D33" s="522">
        <v>0</v>
      </c>
      <c r="E33" s="519">
        <f t="shared" si="1"/>
        <v>36500000</v>
      </c>
      <c r="F33" s="518">
        <v>20787717.199999999</v>
      </c>
      <c r="G33" s="518">
        <v>1571228.28</v>
      </c>
      <c r="H33" s="523">
        <v>0</v>
      </c>
      <c r="I33" s="520">
        <f t="shared" si="3"/>
        <v>22358945.48</v>
      </c>
      <c r="J33" s="526">
        <f t="shared" si="0"/>
        <v>14141054.52</v>
      </c>
      <c r="K33" s="519">
        <v>15712282.800000001</v>
      </c>
      <c r="M33" s="527"/>
      <c r="R33" s="534"/>
    </row>
    <row r="34" spans="1:18">
      <c r="A34" s="516" t="s">
        <v>1090</v>
      </c>
      <c r="B34" s="523">
        <v>2700000</v>
      </c>
      <c r="C34" s="522">
        <v>0</v>
      </c>
      <c r="D34" s="522">
        <v>0</v>
      </c>
      <c r="E34" s="519">
        <f t="shared" si="1"/>
        <v>2700000</v>
      </c>
      <c r="F34" s="528">
        <v>1080000</v>
      </c>
      <c r="G34" s="518">
        <v>1296000</v>
      </c>
      <c r="H34" s="523">
        <v>0</v>
      </c>
      <c r="I34" s="520">
        <f t="shared" si="3"/>
        <v>2376000</v>
      </c>
      <c r="J34" s="526">
        <f t="shared" si="0"/>
        <v>324000</v>
      </c>
      <c r="K34" s="523">
        <v>1620000</v>
      </c>
      <c r="M34" s="527"/>
      <c r="R34" s="534"/>
    </row>
    <row r="35" spans="1:18" ht="15.6">
      <c r="A35" s="516" t="s">
        <v>1091</v>
      </c>
      <c r="B35" s="517"/>
      <c r="C35" s="517"/>
      <c r="D35" s="524"/>
      <c r="E35" s="519"/>
      <c r="F35" s="518"/>
      <c r="G35" s="518"/>
      <c r="H35" s="523"/>
      <c r="I35" s="520"/>
      <c r="J35" s="526"/>
      <c r="K35" s="190"/>
      <c r="M35" s="527"/>
      <c r="R35" s="534"/>
    </row>
    <row r="36" spans="1:18">
      <c r="A36" s="516" t="s">
        <v>384</v>
      </c>
      <c r="B36" s="517">
        <v>865563453.61000001</v>
      </c>
      <c r="C36" s="517">
        <f>266098899+2198405</f>
        <v>268297304</v>
      </c>
      <c r="D36" s="530">
        <v>1258238</v>
      </c>
      <c r="E36" s="519">
        <f t="shared" si="1"/>
        <v>1132602519.6100001</v>
      </c>
      <c r="F36" s="518">
        <v>327937125.5076884</v>
      </c>
      <c r="G36" s="518">
        <v>111219235.20999999</v>
      </c>
      <c r="H36" s="523"/>
      <c r="I36" s="520">
        <f t="shared" si="3"/>
        <v>439156360.71768838</v>
      </c>
      <c r="J36" s="526">
        <f>E36-I36+0.01</f>
        <v>693446158.9023118</v>
      </c>
      <c r="K36" s="519">
        <v>537626328.1123116</v>
      </c>
      <c r="L36" s="534" t="s">
        <v>112</v>
      </c>
      <c r="M36" s="527"/>
      <c r="R36" s="534"/>
    </row>
    <row r="37" spans="1:18">
      <c r="A37" s="516" t="s">
        <v>674</v>
      </c>
      <c r="B37" s="530">
        <v>410674080.07999998</v>
      </c>
      <c r="C37" s="522">
        <v>0</v>
      </c>
      <c r="D37" s="524">
        <v>0</v>
      </c>
      <c r="E37" s="519">
        <f t="shared" si="1"/>
        <v>410674080.07999998</v>
      </c>
      <c r="F37" s="517">
        <v>252491882.89775154</v>
      </c>
      <c r="G37" s="518">
        <v>23727329.579999998</v>
      </c>
      <c r="H37" s="523">
        <v>0</v>
      </c>
      <c r="I37" s="520">
        <f t="shared" si="3"/>
        <v>276219212.47775155</v>
      </c>
      <c r="J37" s="526">
        <f t="shared" si="0"/>
        <v>134454867.60224843</v>
      </c>
      <c r="K37" s="519">
        <v>158182197.18224844</v>
      </c>
      <c r="L37" s="534"/>
      <c r="M37" s="527"/>
      <c r="R37" s="534"/>
    </row>
    <row r="38" spans="1:18">
      <c r="A38" s="516" t="s">
        <v>1451</v>
      </c>
      <c r="B38" s="524">
        <v>9911053</v>
      </c>
      <c r="C38" s="200">
        <v>11016415</v>
      </c>
      <c r="D38" s="524">
        <v>0</v>
      </c>
      <c r="E38" s="519">
        <f t="shared" si="1"/>
        <v>20927468</v>
      </c>
      <c r="F38" s="517">
        <v>1454450.7324999999</v>
      </c>
      <c r="G38" s="534">
        <f>1220644.05+427228.59+111586.04+729675.71</f>
        <v>2489134.39</v>
      </c>
      <c r="H38" s="523">
        <v>0</v>
      </c>
      <c r="I38" s="520">
        <f t="shared" si="3"/>
        <v>3943585.1225000001</v>
      </c>
      <c r="J38" s="526">
        <f>E38-I38-0.01</f>
        <v>16983882.8675</v>
      </c>
      <c r="K38" s="519">
        <v>8456602.2575000003</v>
      </c>
      <c r="L38" s="534"/>
      <c r="M38" s="527"/>
      <c r="R38" s="534"/>
    </row>
    <row r="39" spans="1:18" ht="15.6">
      <c r="A39" s="199"/>
      <c r="B39" s="517"/>
      <c r="C39" s="200"/>
      <c r="D39" s="524"/>
      <c r="E39" s="519"/>
      <c r="F39" s="518"/>
      <c r="G39" s="518"/>
      <c r="H39" s="523"/>
      <c r="I39" s="520"/>
      <c r="J39" s="58"/>
      <c r="K39" s="538"/>
      <c r="L39" s="534"/>
      <c r="M39" s="527"/>
      <c r="R39" s="534"/>
    </row>
    <row r="40" spans="1:18" s="543" customFormat="1">
      <c r="A40" s="539" t="s">
        <v>30</v>
      </c>
      <c r="B40" s="540">
        <f>SUM(B10:B39)</f>
        <v>4058503865.3099999</v>
      </c>
      <c r="C40" s="540">
        <f>SUM(C10:C39)</f>
        <v>333196609</v>
      </c>
      <c r="D40" s="540">
        <f t="shared" ref="D40:K40" si="4">SUM(D10:D39)</f>
        <v>1332549</v>
      </c>
      <c r="E40" s="541">
        <f>B40+C40-D40</f>
        <v>4390367925.3099995</v>
      </c>
      <c r="F40" s="541">
        <f>SUM(F10:F38)</f>
        <v>1988174971.7789643</v>
      </c>
      <c r="G40" s="540">
        <f>SUM(G10:G39)</f>
        <v>301065526.84999996</v>
      </c>
      <c r="H40" s="540">
        <f t="shared" si="4"/>
        <v>0</v>
      </c>
      <c r="I40" s="542">
        <f t="shared" si="4"/>
        <v>2289240498.6289639</v>
      </c>
      <c r="J40" s="540">
        <f>SUM(J10:J39)</f>
        <v>2101127426.6910362</v>
      </c>
      <c r="K40" s="541">
        <f t="shared" si="4"/>
        <v>2070328893.5310357</v>
      </c>
      <c r="M40" s="544"/>
      <c r="Q40" s="545"/>
      <c r="R40" s="545"/>
    </row>
    <row r="41" spans="1:18" s="543" customFormat="1" ht="15.6">
      <c r="A41" s="539"/>
      <c r="B41" s="540"/>
      <c r="C41" s="540"/>
      <c r="D41" s="540"/>
      <c r="E41" s="541"/>
      <c r="F41" s="540"/>
      <c r="G41" s="540"/>
      <c r="H41" s="546"/>
      <c r="I41" s="542"/>
      <c r="J41" s="58"/>
      <c r="K41" s="541"/>
      <c r="M41" s="527"/>
      <c r="Q41" s="545"/>
      <c r="R41" s="534"/>
    </row>
    <row r="42" spans="1:18" s="543" customFormat="1">
      <c r="A42" s="539" t="s">
        <v>31</v>
      </c>
      <c r="B42" s="540">
        <v>3785230246.3099999</v>
      </c>
      <c r="C42" s="540">
        <v>277970578</v>
      </c>
      <c r="D42" s="540">
        <v>4696959</v>
      </c>
      <c r="E42" s="541">
        <v>4058503865.3099999</v>
      </c>
      <c r="F42" s="541">
        <v>1696922220.5221455</v>
      </c>
      <c r="G42" s="540">
        <v>294937683.25681877</v>
      </c>
      <c r="H42" s="540">
        <v>3684932</v>
      </c>
      <c r="I42" s="542">
        <v>1988174971.7789643</v>
      </c>
      <c r="J42" s="540">
        <v>2070328893.5310357</v>
      </c>
      <c r="K42" s="541">
        <v>2088308025.7878547</v>
      </c>
      <c r="M42" s="544"/>
    </row>
    <row r="43" spans="1:18" s="543" customFormat="1" ht="15.6">
      <c r="A43" s="539"/>
      <c r="B43" s="547"/>
      <c r="C43" s="547"/>
      <c r="D43" s="548"/>
      <c r="E43" s="541"/>
      <c r="F43" s="547"/>
      <c r="G43" s="547"/>
      <c r="H43" s="549"/>
      <c r="I43" s="542"/>
      <c r="J43" s="58"/>
      <c r="K43" s="550"/>
      <c r="M43" s="527"/>
    </row>
    <row r="44" spans="1:18" ht="15.6">
      <c r="A44" s="539" t="s">
        <v>32</v>
      </c>
      <c r="B44" s="524"/>
      <c r="C44" s="518"/>
      <c r="D44" s="524"/>
      <c r="E44" s="519"/>
      <c r="F44" s="518"/>
      <c r="G44" s="518"/>
      <c r="H44" s="523"/>
      <c r="I44" s="516"/>
      <c r="J44" s="58"/>
      <c r="K44" s="519"/>
      <c r="M44" s="527"/>
    </row>
    <row r="45" spans="1:18">
      <c r="A45" s="516" t="s">
        <v>33</v>
      </c>
      <c r="B45" s="524">
        <v>0</v>
      </c>
      <c r="C45" s="524">
        <v>0</v>
      </c>
      <c r="D45" s="524">
        <v>0</v>
      </c>
      <c r="E45" s="524">
        <v>0</v>
      </c>
      <c r="F45" s="524">
        <v>0</v>
      </c>
      <c r="G45" s="524">
        <v>0</v>
      </c>
      <c r="H45" s="523">
        <v>0</v>
      </c>
      <c r="I45" s="535">
        <f t="shared" ref="I45:K48" si="5">F45+G45-H45</f>
        <v>0</v>
      </c>
      <c r="J45" s="526">
        <f t="shared" ref="J45:J48" si="6">E45-I45</f>
        <v>0</v>
      </c>
      <c r="K45" s="551">
        <f t="shared" si="5"/>
        <v>0</v>
      </c>
      <c r="M45" s="527"/>
    </row>
    <row r="46" spans="1:18">
      <c r="A46" s="516" t="s">
        <v>34</v>
      </c>
      <c r="B46" s="524">
        <v>0</v>
      </c>
      <c r="C46" s="524">
        <v>0</v>
      </c>
      <c r="D46" s="524">
        <v>0</v>
      </c>
      <c r="E46" s="524">
        <v>0</v>
      </c>
      <c r="F46" s="524">
        <v>0</v>
      </c>
      <c r="G46" s="524">
        <v>0</v>
      </c>
      <c r="H46" s="523">
        <v>0</v>
      </c>
      <c r="I46" s="535">
        <f t="shared" si="5"/>
        <v>0</v>
      </c>
      <c r="J46" s="526">
        <f t="shared" si="6"/>
        <v>0</v>
      </c>
      <c r="K46" s="551">
        <f t="shared" si="5"/>
        <v>0</v>
      </c>
      <c r="M46" s="527"/>
    </row>
    <row r="47" spans="1:18">
      <c r="A47" s="516" t="s">
        <v>35</v>
      </c>
      <c r="B47" s="524">
        <v>0</v>
      </c>
      <c r="C47" s="524">
        <v>0</v>
      </c>
      <c r="D47" s="524">
        <v>0</v>
      </c>
      <c r="E47" s="524">
        <v>0</v>
      </c>
      <c r="F47" s="524">
        <v>0</v>
      </c>
      <c r="G47" s="524">
        <v>0</v>
      </c>
      <c r="H47" s="523">
        <v>0</v>
      </c>
      <c r="I47" s="535">
        <f t="shared" si="5"/>
        <v>0</v>
      </c>
      <c r="J47" s="526">
        <f t="shared" si="6"/>
        <v>0</v>
      </c>
      <c r="K47" s="551">
        <f t="shared" si="5"/>
        <v>0</v>
      </c>
      <c r="M47" s="527"/>
    </row>
    <row r="48" spans="1:18">
      <c r="A48" s="556" t="s">
        <v>36</v>
      </c>
      <c r="B48" s="519"/>
      <c r="C48" s="524">
        <v>0</v>
      </c>
      <c r="D48" s="524"/>
      <c r="E48" s="524">
        <v>0</v>
      </c>
      <c r="F48" s="524">
        <v>0</v>
      </c>
      <c r="G48" s="524">
        <v>0</v>
      </c>
      <c r="H48" s="523">
        <v>0</v>
      </c>
      <c r="I48" s="535">
        <f t="shared" si="5"/>
        <v>0</v>
      </c>
      <c r="J48" s="526">
        <f t="shared" si="6"/>
        <v>0</v>
      </c>
      <c r="K48" s="519"/>
      <c r="M48" s="527"/>
    </row>
    <row r="49" spans="1:13">
      <c r="A49" s="556"/>
      <c r="B49" s="529"/>
      <c r="C49" s="524"/>
      <c r="D49" s="524"/>
      <c r="E49" s="519"/>
      <c r="F49" s="524"/>
      <c r="G49" s="524"/>
      <c r="H49" s="523"/>
      <c r="I49" s="535"/>
      <c r="J49" s="526"/>
      <c r="K49" s="551"/>
      <c r="M49" s="527"/>
    </row>
    <row r="50" spans="1:13" s="543" customFormat="1">
      <c r="A50" s="564" t="s">
        <v>125</v>
      </c>
      <c r="B50" s="552">
        <f>SUM(B45:B48)</f>
        <v>0</v>
      </c>
      <c r="C50" s="552">
        <f t="shared" ref="C50:K50" si="7">SUM(C45:C48)</f>
        <v>0</v>
      </c>
      <c r="D50" s="552">
        <f t="shared" si="7"/>
        <v>0</v>
      </c>
      <c r="E50" s="552">
        <f t="shared" si="7"/>
        <v>0</v>
      </c>
      <c r="F50" s="552">
        <f t="shared" si="7"/>
        <v>0</v>
      </c>
      <c r="G50" s="552">
        <f t="shared" si="7"/>
        <v>0</v>
      </c>
      <c r="H50" s="552">
        <f t="shared" si="7"/>
        <v>0</v>
      </c>
      <c r="I50" s="552">
        <f t="shared" si="7"/>
        <v>0</v>
      </c>
      <c r="J50" s="552">
        <f t="shared" si="7"/>
        <v>0</v>
      </c>
      <c r="K50" s="552">
        <f t="shared" si="7"/>
        <v>0</v>
      </c>
      <c r="M50" s="527"/>
    </row>
    <row r="51" spans="1:13" s="543" customFormat="1" ht="14.4" thickBot="1">
      <c r="A51" s="565"/>
      <c r="B51" s="552"/>
      <c r="C51" s="553"/>
      <c r="D51" s="553"/>
      <c r="E51" s="552"/>
      <c r="F51" s="553"/>
      <c r="G51" s="553"/>
      <c r="H51" s="554"/>
      <c r="I51" s="555"/>
      <c r="J51" s="556"/>
      <c r="K51" s="557"/>
      <c r="M51" s="527"/>
    </row>
    <row r="52" spans="1:13" s="560" customFormat="1" ht="19.8" thickBot="1">
      <c r="A52" s="566" t="s">
        <v>37</v>
      </c>
      <c r="B52" s="559">
        <f>B40+B50</f>
        <v>4058503865.3099999</v>
      </c>
      <c r="C52" s="558">
        <f t="shared" ref="C52:K52" si="8">C40+C50</f>
        <v>333196609</v>
      </c>
      <c r="D52" s="558">
        <f t="shared" si="8"/>
        <v>1332549</v>
      </c>
      <c r="E52" s="559">
        <f t="shared" si="8"/>
        <v>4390367925.3099995</v>
      </c>
      <c r="F52" s="559">
        <f t="shared" si="8"/>
        <v>1988174971.7789643</v>
      </c>
      <c r="G52" s="559">
        <f>G40+G50</f>
        <v>301065526.84999996</v>
      </c>
      <c r="H52" s="559">
        <f t="shared" si="8"/>
        <v>0</v>
      </c>
      <c r="I52" s="559">
        <f t="shared" si="8"/>
        <v>2289240498.6289639</v>
      </c>
      <c r="J52" s="559">
        <f>J40+J50-0.01</f>
        <v>2101127426.6810362</v>
      </c>
      <c r="K52" s="559">
        <f t="shared" si="8"/>
        <v>2070328893.5310357</v>
      </c>
      <c r="M52" s="561"/>
    </row>
    <row r="53" spans="1:13" ht="15.6">
      <c r="D53" s="534"/>
      <c r="J53" s="38"/>
    </row>
    <row r="54" spans="1:13" ht="15.6">
      <c r="A54" s="638" t="s">
        <v>1031</v>
      </c>
      <c r="B54" s="638"/>
      <c r="C54" s="638"/>
      <c r="D54" s="638"/>
      <c r="E54" s="638"/>
      <c r="F54" s="638"/>
      <c r="G54" s="638"/>
      <c r="H54" s="638"/>
      <c r="I54" s="638"/>
      <c r="J54" s="638"/>
      <c r="K54" s="638"/>
    </row>
    <row r="55" spans="1:13" ht="15.6">
      <c r="B55" s="534"/>
      <c r="C55" s="562"/>
      <c r="J55" s="38"/>
      <c r="K55" s="534"/>
    </row>
    <row r="56" spans="1:13">
      <c r="B56" s="534"/>
      <c r="C56" s="534"/>
      <c r="E56" s="534"/>
      <c r="K56" s="534"/>
    </row>
    <row r="57" spans="1:13">
      <c r="B57" s="534">
        <f>B40+C40-D40</f>
        <v>4390367925.3099995</v>
      </c>
      <c r="C57" s="563"/>
      <c r="D57" s="534"/>
    </row>
    <row r="58" spans="1:13">
      <c r="G58" s="534"/>
    </row>
  </sheetData>
  <mergeCells count="8">
    <mergeCell ref="A54:K54"/>
    <mergeCell ref="A1:K1"/>
    <mergeCell ref="A3:K3"/>
    <mergeCell ref="J4:K4"/>
    <mergeCell ref="B6:E6"/>
    <mergeCell ref="F6:I6"/>
    <mergeCell ref="J6:K6"/>
    <mergeCell ref="A6:A7"/>
  </mergeCells>
  <phoneticPr fontId="0" type="noConversion"/>
  <printOptions horizontalCentered="1"/>
  <pageMargins left="0.14000000000000001" right="0.2" top="0.5" bottom="0.5" header="0" footer="0"/>
  <pageSetup paperSize="9" scale="64" orientation="landscape" verticalDpi="300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19</vt:i4>
      </vt:variant>
    </vt:vector>
  </HeadingPairs>
  <TitlesOfParts>
    <vt:vector size="46" baseType="lpstr">
      <vt:lpstr>BS</vt:lpstr>
      <vt:lpstr>IE</vt:lpstr>
      <vt:lpstr>Capi</vt:lpstr>
      <vt:lpstr>S 3</vt:lpstr>
      <vt:lpstr>R P</vt:lpstr>
      <vt:lpstr>S 4</vt:lpstr>
      <vt:lpstr>S 5 6</vt:lpstr>
      <vt:lpstr>S 7</vt:lpstr>
      <vt:lpstr>S 8</vt:lpstr>
      <vt:lpstr>S 9 10</vt:lpstr>
      <vt:lpstr>S 11 </vt:lpstr>
      <vt:lpstr>S 11 c</vt:lpstr>
      <vt:lpstr>S 12 13</vt:lpstr>
      <vt:lpstr>S 14 15</vt:lpstr>
      <vt:lpstr>S 16 17</vt:lpstr>
      <vt:lpstr>S 18  20</vt:lpstr>
      <vt:lpstr>S 21</vt:lpstr>
      <vt:lpstr>S 22 23</vt:lpstr>
      <vt:lpstr>Dep {Minor Civil Works}</vt:lpstr>
      <vt:lpstr>Dep</vt:lpstr>
      <vt:lpstr>Cal FA</vt:lpstr>
      <vt:lpstr>Amortization</vt:lpstr>
      <vt:lpstr>Closing Stock</vt:lpstr>
      <vt:lpstr>Medical Equipment- Projects</vt:lpstr>
      <vt:lpstr>Sales of Assets</vt:lpstr>
      <vt:lpstr>Detailed of Sales of Assets</vt:lpstr>
      <vt:lpstr>Sheet2</vt:lpstr>
      <vt:lpstr>BS!Print_Area</vt:lpstr>
      <vt:lpstr>Capi!Print_Area</vt:lpstr>
      <vt:lpstr>Dep!Print_Area</vt:lpstr>
      <vt:lpstr>IE!Print_Area</vt:lpstr>
      <vt:lpstr>'R P'!Print_Area</vt:lpstr>
      <vt:lpstr>'S 11 '!Print_Area</vt:lpstr>
      <vt:lpstr>'S 11 c'!Print_Area</vt:lpstr>
      <vt:lpstr>'S 12 13'!Print_Area</vt:lpstr>
      <vt:lpstr>'S 14 15'!Print_Area</vt:lpstr>
      <vt:lpstr>'S 16 17'!Print_Area</vt:lpstr>
      <vt:lpstr>'S 18  20'!Print_Area</vt:lpstr>
      <vt:lpstr>'S 21'!Print_Area</vt:lpstr>
      <vt:lpstr>'S 22 23'!Print_Area</vt:lpstr>
      <vt:lpstr>'S 3'!Print_Area</vt:lpstr>
      <vt:lpstr>'S 4'!Print_Area</vt:lpstr>
      <vt:lpstr>'S 5 6'!Print_Area</vt:lpstr>
      <vt:lpstr>'S 7'!Print_Area</vt:lpstr>
      <vt:lpstr>'S 8'!Print_Area</vt:lpstr>
      <vt:lpstr>'S 9 10'!Print_Area</vt:lpstr>
    </vt:vector>
  </TitlesOfParts>
  <Company>NEIGRIHMS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Lamare</dc:creator>
  <cp:lastModifiedBy>HCL</cp:lastModifiedBy>
  <cp:lastPrinted>2014-07-12T12:01:43Z</cp:lastPrinted>
  <dcterms:created xsi:type="dcterms:W3CDTF">2005-10-14T09:04:47Z</dcterms:created>
  <dcterms:modified xsi:type="dcterms:W3CDTF">2015-03-30T06:10:44Z</dcterms:modified>
</cp:coreProperties>
</file>